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Brandon\Downloads\"/>
    </mc:Choice>
  </mc:AlternateContent>
  <xr:revisionPtr revIDLastSave="0" documentId="13_ncr:1_{ABE4D629-9BBC-4E00-BDDF-2631FAB1096D}" xr6:coauthVersionLast="44" xr6:coauthVersionMax="44" xr10:uidLastSave="{00000000-0000-0000-0000-000000000000}"/>
  <bookViews>
    <workbookView xWindow="-120" yWindow="-120" windowWidth="29040" windowHeight="15720" tabRatio="500" activeTab="1" xr2:uid="{00000000-000D-0000-FFFF-FFFF00000000}"/>
  </bookViews>
  <sheets>
    <sheet name="Summary" sheetId="1" r:id="rId1"/>
    <sheet name="Assumptions" sheetId="2" r:id="rId2"/>
    <sheet name="Proforma" sheetId="3" r:id="rId3"/>
    <sheet name="Financing" sheetId="4" r:id="rId4"/>
    <sheet name="Comps" sheetId="5" r:id="rId5"/>
    <sheet name="Notes &amp; Sources" sheetId="6" r:id="rId6"/>
  </sheets>
  <calcPr calcId="19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4" i="5" l="1"/>
  <c r="C21" i="5"/>
  <c r="C20" i="5"/>
  <c r="F19" i="5"/>
  <c r="E19" i="5"/>
  <c r="D19" i="5"/>
  <c r="C19" i="5"/>
  <c r="F18" i="5"/>
  <c r="E18" i="5"/>
  <c r="D18" i="5"/>
  <c r="C18" i="5"/>
  <c r="D13" i="5"/>
  <c r="D11" i="5"/>
  <c r="D10" i="5"/>
  <c r="E7" i="5"/>
  <c r="E6" i="5"/>
  <c r="E5" i="5"/>
  <c r="E4" i="5"/>
  <c r="C19" i="4"/>
  <c r="C18" i="4"/>
  <c r="B18" i="4"/>
  <c r="B19" i="4" s="1"/>
  <c r="C8" i="4"/>
  <c r="B8" i="4"/>
  <c r="C5" i="4"/>
  <c r="B5" i="4"/>
  <c r="B6" i="4" s="1"/>
  <c r="C34" i="3"/>
  <c r="B34" i="3"/>
  <c r="C33" i="3"/>
  <c r="C22" i="1" s="1"/>
  <c r="B33" i="3"/>
  <c r="B22" i="1" s="1"/>
  <c r="C21" i="3"/>
  <c r="B21" i="3"/>
  <c r="C20" i="3"/>
  <c r="B20" i="3"/>
  <c r="C19" i="3"/>
  <c r="B19" i="3"/>
  <c r="C18" i="3"/>
  <c r="B18" i="3"/>
  <c r="C17" i="3"/>
  <c r="B17" i="3"/>
  <c r="C16" i="3"/>
  <c r="B16" i="3"/>
  <c r="C15" i="3"/>
  <c r="B15" i="3"/>
  <c r="C14" i="3"/>
  <c r="B14" i="3"/>
  <c r="C8" i="3"/>
  <c r="B8" i="3"/>
  <c r="C7" i="3"/>
  <c r="B7" i="3"/>
  <c r="C6" i="3"/>
  <c r="C9" i="3" s="1"/>
  <c r="B6" i="3"/>
  <c r="B9" i="3" s="1"/>
  <c r="C15" i="2"/>
  <c r="B15" i="2"/>
  <c r="C23" i="1"/>
  <c r="B23" i="1"/>
  <c r="C17" i="1"/>
  <c r="B17" i="1"/>
  <c r="D12" i="5" l="1"/>
  <c r="D20" i="5"/>
  <c r="B18" i="1"/>
  <c r="B32" i="3"/>
  <c r="B10" i="3"/>
  <c r="B11" i="3" s="1"/>
  <c r="C32" i="3"/>
  <c r="C10" i="3"/>
  <c r="C11" i="3"/>
  <c r="D21" i="5"/>
  <c r="C18" i="1"/>
  <c r="C6" i="4"/>
  <c r="C7" i="4" s="1"/>
  <c r="C9" i="4" s="1"/>
  <c r="C10" i="4" s="1"/>
  <c r="C25" i="1" s="1"/>
  <c r="B7" i="4"/>
  <c r="B9" i="4" s="1"/>
  <c r="B10" i="4" s="1"/>
  <c r="B25" i="1" s="1"/>
  <c r="B22" i="3" l="1"/>
  <c r="B23" i="3" s="1"/>
  <c r="B25" i="3" s="1"/>
  <c r="B24" i="1" s="1"/>
  <c r="C22" i="3"/>
  <c r="C23" i="3" s="1"/>
  <c r="C25" i="3" s="1"/>
  <c r="C24" i="1" s="1"/>
  <c r="E21" i="5"/>
  <c r="C21" i="1"/>
  <c r="B21" i="1"/>
  <c r="E20" i="5"/>
  <c r="B27" i="3" l="1"/>
  <c r="B31" i="3" s="1"/>
  <c r="B11" i="4"/>
  <c r="B35" i="3"/>
  <c r="B19" i="1"/>
  <c r="C27" i="3"/>
  <c r="B12" i="4" l="1"/>
  <c r="B14" i="4"/>
  <c r="B28" i="1" s="1"/>
  <c r="C35" i="3"/>
  <c r="C19" i="1"/>
  <c r="C11" i="4"/>
  <c r="C31" i="3"/>
  <c r="B20" i="1"/>
  <c r="F20" i="5"/>
  <c r="B26" i="1" l="1"/>
  <c r="B13" i="4"/>
  <c r="B27" i="1" s="1"/>
  <c r="F21" i="5"/>
  <c r="C20" i="1"/>
  <c r="C14" i="4"/>
  <c r="C28" i="1" s="1"/>
  <c r="C12" i="4"/>
  <c r="C13" i="4" l="1"/>
  <c r="C27" i="1" s="1"/>
  <c r="C26" i="1"/>
</calcChain>
</file>

<file path=xl/sharedStrings.xml><?xml version="1.0" encoding="utf-8"?>
<sst xmlns="http://schemas.openxmlformats.org/spreadsheetml/2006/main" count="280" uniqueCount="238">
  <si>
    <t>1347 Atlantic Ave, Long Beach, CA 90813</t>
  </si>
  <si>
    <t>Investment Summary  |  Prepared by BayBrook Realty  |  Listing Agent: Frank Magdaleno, DRE #01374770</t>
  </si>
  <si>
    <t>All figures are estimates for discussion only. Buyer to verify all income, expenses, square footage, permit status, and zoning independently.</t>
  </si>
  <si>
    <t>HOW TO USE THIS WORKBOOK</t>
  </si>
  <si>
    <t>Yellow cells on the Assumptions tab</t>
  </si>
  <si>
    <t>The only cells you should edit. Everything else recalculates.</t>
  </si>
  <si>
    <t>Blue text</t>
  </si>
  <si>
    <t>A hardcoded input you can change.</t>
  </si>
  <si>
    <t>Black text</t>
  </si>
  <si>
    <t>A formula. Do not overwrite.</t>
  </si>
  <si>
    <t>Green text</t>
  </si>
  <si>
    <t>Pulled from another tab in this workbook.</t>
  </si>
  <si>
    <t>Scenario A</t>
  </si>
  <si>
    <t>Permitted units only. Garage conversion income excluded entirely.</t>
  </si>
  <si>
    <t>Scenario B</t>
  </si>
  <si>
    <t>All three units, including the non-conforming garage conversion.</t>
  </si>
  <si>
    <t>HEADLINE METRICS</t>
  </si>
  <si>
    <t>Scenario A
Permitted Units Only</t>
  </si>
  <si>
    <t>Scenario B
All Three Units</t>
  </si>
  <si>
    <t>Note</t>
  </si>
  <si>
    <t>Purchase price</t>
  </si>
  <si>
    <t>Current list price. Edit on Assumptions tab.</t>
  </si>
  <si>
    <t>Gross Scheduled Income</t>
  </si>
  <si>
    <t>Annual, at reported lease rents.</t>
  </si>
  <si>
    <t>Net Operating Income</t>
  </si>
  <si>
    <t>After vacancy and all operating expenses.</t>
  </si>
  <si>
    <t>Cap rate</t>
  </si>
  <si>
    <t>Comparable LB 2-4 unit sales: 3.4% to 4.3%.</t>
  </si>
  <si>
    <t>Gross Rent Multiplier</t>
  </si>
  <si>
    <t>Lower is better. 416 Lime sold at 16.43x.</t>
  </si>
  <si>
    <t>Price per unit</t>
  </si>
  <si>
    <t>Against 2 or 3 units.</t>
  </si>
  <si>
    <t>Price per sq ft (permitted 2,085)</t>
  </si>
  <si>
    <t>Closed comp median was $454/sf.</t>
  </si>
  <si>
    <t>Operating expense ratio</t>
  </si>
  <si>
    <t>Percent of effective gross income.</t>
  </si>
  <si>
    <t>Annual debt service</t>
  </si>
  <si>
    <t>At the loan terms on the Assumptions tab.</t>
  </si>
  <si>
    <t>Cash flow after debt service</t>
  </si>
  <si>
    <t>Before income taxes.</t>
  </si>
  <si>
    <t>Cash-on-cash return</t>
  </si>
  <si>
    <t>Cash flow divided by down payment.</t>
  </si>
  <si>
    <t>Debt service coverage ratio</t>
  </si>
  <si>
    <t>Most lenders want 1.15x or better.</t>
  </si>
  <si>
    <t>WHAT THIS PROPERTY IS</t>
  </si>
  <si>
    <t>•  Fully restored 1912 Craftsman front house: 3 bed / 2 bath, approx. 1,700 sq ft, taken to the studs.</t>
  </si>
  <si>
    <t>•  New windows, full electrical rewire and new panel, new HVAC, new water heater. Reduced near-term capital exposure.</t>
  </si>
  <si>
    <t>•  Rear apartment: 1 bed / 1 bath, fully remodeled to the studs, private yard and private gated 2-car driveway.</t>
  </si>
  <si>
    <t>•  Garage conversion (non-conforming): kitchen, 3/4 bath, and loft. Currently rented. Seller will convert back to garage at seller's cost if buyer prefers.</t>
  </si>
  <si>
    <t>•  7,056 sq ft lot. Substantially larger than most comparable properties in the area (416 Lime: 2,026 sq ft; 932 Walnut: 5,858 sq ft).</t>
  </si>
  <si>
    <t>•  Parking is scarce in this neighborhood. 5-car driveway for the front home plus a separate 2-car driveway for the rear unit.</t>
  </si>
  <si>
    <t>•  Property can be delivered vacant in whole or in part at buyer's election.</t>
  </si>
  <si>
    <t>Assumptions and Inputs</t>
  </si>
  <si>
    <t>Edit the yellow cells only. Every other tab recalculates from here.</t>
  </si>
  <si>
    <t>Scenario A
Permitted Only</t>
  </si>
  <si>
    <t>Source / Basis</t>
  </si>
  <si>
    <t>PROPERTY AND PRICE</t>
  </si>
  <si>
    <t>Purchase / list price</t>
  </si>
  <si>
    <t>MLS OC26083839 current list price as of 08/20/26.</t>
  </si>
  <si>
    <t>Permitted building sq ft</t>
  </si>
  <si>
    <t>MLS SQFT field. Buyer to verify. Front house approx. 1,700 sq ft per listing agent.</t>
  </si>
  <si>
    <t>Lot sq ft</t>
  </si>
  <si>
    <t>MLS lot size, 0.162 acres.</t>
  </si>
  <si>
    <t>Unit count in scenario</t>
  </si>
  <si>
    <t>Scenario A excludes the non-conforming garage conversion.</t>
  </si>
  <si>
    <t>MONTHLY RENTS</t>
  </si>
  <si>
    <t>Front house (3 bed / 2 bath)</t>
  </si>
  <si>
    <t>Rear apartment (1 bed / 1 bath)</t>
  </si>
  <si>
    <t>Garage conversion (non-conforming)</t>
  </si>
  <si>
    <t>Currently rented. NOT permitted. Excluded from Scenario A. Lender and appraiser may not credit this income.</t>
  </si>
  <si>
    <t>Total monthly rent</t>
  </si>
  <si>
    <t>VACANCY</t>
  </si>
  <si>
    <t>Vacancy and credit loss (% of GSI)</t>
  </si>
  <si>
    <t>Estimate. Long Beach multifamily vacancy reported near 6.2% in Q2 2026 across all classes.</t>
  </si>
  <si>
    <t>OPERATING EXPENSES (ANNUAL)</t>
  </si>
  <si>
    <t>Ad valorem tax rate</t>
  </si>
  <si>
    <t>SOURCED: LA County 2025-26 tax bill, APN 7269-029-012. General levy 1.000000 + Metro Water .007000 + Community College .082546 + Unified Schools .179552.</t>
  </si>
  <si>
    <t>Direct assessments (flat, annual)</t>
  </si>
  <si>
    <t>SOURCED: same tax bill. Safe Clean Water 96.76 + Flood Control 30.37 + MWD Standby 12.16 + RPOSD Measure A 39.82 + Cnty San Dist 03 253.20 + Trauma/Emerg 131.35 = $563.66. Does not scale with value.</t>
  </si>
  <si>
    <t>Insurance</t>
  </si>
  <si>
    <t>ESTIMATE. 1912 wood-frame multi-unit, LA County. Buyer should obtain a real quote.</t>
  </si>
  <si>
    <t>Water and sewer</t>
  </si>
  <si>
    <t>ESTIMATE. Single water meter serves all units, so owner pays all water.</t>
  </si>
  <si>
    <t>Refuse</t>
  </si>
  <si>
    <t>ESTIMATE. Long Beach municipal refuse for a multi-unit property.</t>
  </si>
  <si>
    <t>Gas (owner-paid portion)</t>
  </si>
  <si>
    <t>ESTIMATE. MLS shows 2 gas meters for 3 units, so one unit is on the owner's meter.</t>
  </si>
  <si>
    <t>Electric (owner-paid and common)</t>
  </si>
  <si>
    <t>ESTIMATE. MLS shows 2 electric meters for 3 units.</t>
  </si>
  <si>
    <t>Landscaping</t>
  </si>
  <si>
    <t>ESTIMATE. Turf front yard and large rear yard.</t>
  </si>
  <si>
    <t>Maintenance and repairs</t>
  </si>
  <si>
    <t>ESTIMATE, reduced for the renovation. New HVAC, panel, wiring, water heater, and windows. A 1912 building without this work would typically reserve 8-10% of gross.</t>
  </si>
  <si>
    <t>Property management (% of EGI)</t>
  </si>
  <si>
    <t>ESTIMATE. Set to 0% if the buyer will self-manage.</t>
  </si>
  <si>
    <t>FINANCING</t>
  </si>
  <si>
    <t>Down payment (% of price)</t>
  </si>
  <si>
    <t>Typical for a non-owner-occupied 2-4 unit. Owner-occupants may qualify for far less down.</t>
  </si>
  <si>
    <t>Interest rate</t>
  </si>
  <si>
    <t>ESTIMATE. Buyer to confirm with their lender.</t>
  </si>
  <si>
    <t>Amortization (years)</t>
  </si>
  <si>
    <t>Standard 30-year residential amortization. 2-4 unit properties qualify for residential financing.</t>
  </si>
  <si>
    <t>VALUATION TEST</t>
  </si>
  <si>
    <t>Target cap rate for value test</t>
  </si>
  <si>
    <t>Comparable Long Beach 2-4 unit sales indicate roughly 3.4% to 4.3%. See Comps tab.</t>
  </si>
  <si>
    <t>Operating Proforma</t>
  </si>
  <si>
    <t>All figures annual. Driven entirely by the Assumptions tab.</t>
  </si>
  <si>
    <t>Formula / Note</t>
  </si>
  <si>
    <t>INCOME</t>
  </si>
  <si>
    <t>Front house (3/2)</t>
  </si>
  <si>
    <t>Monthly rent x 12.</t>
  </si>
  <si>
    <t>Rear apartment (1/1)</t>
  </si>
  <si>
    <t>Excluded from Scenario A.</t>
  </si>
  <si>
    <t>Less: vacancy and credit loss</t>
  </si>
  <si>
    <t>GSI x vacancy rate.</t>
  </si>
  <si>
    <t>Effective Gross Income</t>
  </si>
  <si>
    <t>OPERATING EXPENSES</t>
  </si>
  <si>
    <t>Property taxes</t>
  </si>
  <si>
    <t>Reassessed at the purchase price. Seller currently pays $1,160/yr on a $46,998 assessed value.</t>
  </si>
  <si>
    <t>Estimate.</t>
  </si>
  <si>
    <t>Single meter, owner pays all.</t>
  </si>
  <si>
    <t>Reduced for the recent renovation.</t>
  </si>
  <si>
    <t>Property management</t>
  </si>
  <si>
    <t>Total Operating Expenses</t>
  </si>
  <si>
    <t>Total expenses as a percent of EGI.</t>
  </si>
  <si>
    <t>NET OPERATING INCOME</t>
  </si>
  <si>
    <t>EGI less total operating expenses.</t>
  </si>
  <si>
    <t>RETURN AND VALUATION METRICS</t>
  </si>
  <si>
    <t>NOI divided by price. Comparable LB 2-4 unit sales run roughly 3.4% to 4.3%.</t>
  </si>
  <si>
    <t>Price divided by GSI. Lower is better. 416 Lime sold at 16.43x, 932 Walnut asking 13.78x.</t>
  </si>
  <si>
    <t>Price divided by unit count.</t>
  </si>
  <si>
    <t>Price per permitted sq ft</t>
  </si>
  <si>
    <t>Closed comp median was $454/sf. Note this metric ignores the lot and the unit count.</t>
  </si>
  <si>
    <t>Implied value at target cap rate</t>
  </si>
  <si>
    <t>NOI divided by the target cap rate. Use this test on Scenario A only. Applying a market cap rate to unpermitted income overstates value.</t>
  </si>
  <si>
    <t>Financing and Levered Returns</t>
  </si>
  <si>
    <t>Illustrative only. Not a loan quote. Buyer to confirm all terms with their own lender.</t>
  </si>
  <si>
    <t>From Assumptions.</t>
  </si>
  <si>
    <t>Down payment</t>
  </si>
  <si>
    <t>Price x down payment percent.</t>
  </si>
  <si>
    <t>Loan amount</t>
  </si>
  <si>
    <t>Monthly principal and interest</t>
  </si>
  <si>
    <t>Fully amortizing.</t>
  </si>
  <si>
    <t>From the Proforma tab.</t>
  </si>
  <si>
    <t>Cash flow before income tax</t>
  </si>
  <si>
    <t>NOI less debt service.</t>
  </si>
  <si>
    <t>Annual cash flow divided by cash invested.</t>
  </si>
  <si>
    <t>Most lenders look for 1.15x or better.</t>
  </si>
  <si>
    <t>OWNER-OCCUPANT VIEW</t>
  </si>
  <si>
    <t>A 2-4 unit property qualifies for residential financing. An owner-occupant who lives in the front house collects the other units' rent against a mortgage payment they would be making anyway. The figures below show what the non-owner-occupied units contribute annually toward that payment.</t>
  </si>
  <si>
    <t>Rent from units NOT owner-occupied</t>
  </si>
  <si>
    <t>Rear apartment only in Scenario A; rear apartment plus garage conversion in Scenario B.</t>
  </si>
  <si>
    <t>Monthly offset to owner's housing cost</t>
  </si>
  <si>
    <t>Comparable Sales and Competing Inventory</t>
  </si>
  <si>
    <t>Address</t>
  </si>
  <si>
    <t>ZIP</t>
  </si>
  <si>
    <t>Status</t>
  </si>
  <si>
    <t>Price</t>
  </si>
  <si>
    <t>$/Sq Ft</t>
  </si>
  <si>
    <t>DOM</t>
  </si>
  <si>
    <t>Sq Ft</t>
  </si>
  <si>
    <t>Sold Date</t>
  </si>
  <si>
    <t>GSI</t>
  </si>
  <si>
    <t>Cap Rate</t>
  </si>
  <si>
    <t>Listing agent note</t>
  </si>
  <si>
    <t>1347 Atlantic Ave</t>
  </si>
  <si>
    <t>90813</t>
  </si>
  <si>
    <t>SUBJECT</t>
  </si>
  <si>
    <t>Subject property. 3 units on a 7,056 sq ft lot.</t>
  </si>
  <si>
    <t>Closed</t>
  </si>
  <si>
    <t>1612 E 7th</t>
  </si>
  <si>
    <t>5/1/26</t>
  </si>
  <si>
    <t>416 Lime</t>
  </si>
  <si>
    <t>90802</t>
  </si>
  <si>
    <t>5/27/26</t>
  </si>
  <si>
    <t>Best comp. Listed $995,000, sold $1,025,000 in 13 days. Nice 3/2 front house with 1/1 back apartment. Small 2,026 sq ft lot, no AC, minimal parking. Better location than subject.</t>
  </si>
  <si>
    <t>932 Walnut</t>
  </si>
  <si>
    <t>Active</t>
  </si>
  <si>
    <t>DIRECT COMPETITION. 4 units, 5,858 sq ft lot. Nicely remodeled interior, no backyard, parking tight compared to subject. Does not front a busy street.</t>
  </si>
  <si>
    <t>CLOSED SALE STATISTICS (11 sales)</t>
  </si>
  <si>
    <t>Median closed price</t>
  </si>
  <si>
    <t>Subject is listed at $1,049,900.</t>
  </si>
  <si>
    <t>Mean closed price</t>
  </si>
  <si>
    <t>Pulled upward by 346 Molino in Belmont Heights.</t>
  </si>
  <si>
    <t>Median $/sq ft</t>
  </si>
  <si>
    <t>Subject is at roughly $504/sq ft on permitted square footage.</t>
  </si>
  <si>
    <t>Median days on market</t>
  </si>
  <si>
    <t>Subject has been on market 117 days.</t>
  </si>
  <si>
    <t>Closed sales above $1,000,000</t>
  </si>
  <si>
    <t>Two of the three were materially larger or in a better ZIP.</t>
  </si>
  <si>
    <t>INCOME METRIC COMPARISON</t>
  </si>
  <si>
    <t>Property</t>
  </si>
  <si>
    <t>GRM</t>
  </si>
  <si>
    <t>1347 Atlantic (Scenario A)</t>
  </si>
  <si>
    <t>Subject</t>
  </si>
  <si>
    <t>1347 Atlantic (Scenario B)</t>
  </si>
  <si>
    <t>Notes, Sources, and Disclosures</t>
  </si>
  <si>
    <t>SOURCED FROM DOCUMENTS</t>
  </si>
  <si>
    <t>Property tax rate</t>
  </si>
  <si>
    <t>LA County Annual Secured Property Tax Information Statement, FY 7/1/2025 to 6/30/2026, APN 7269-029-012. Ad valorem components total 1.269098%. Direct assessments total $563.66 and are flat dollar amounts that do not scale with assessed value.</t>
  </si>
  <si>
    <t>Current tax burden</t>
  </si>
  <si>
    <t>Listing data</t>
  </si>
  <si>
    <t>Income and cap rates on comps</t>
  </si>
  <si>
    <t>416 Lime and 932 Walnut income and cap rate figures supplied by the listing agent from MLS.</t>
  </si>
  <si>
    <t>REPORTED BY THE SELLER SIDE, NOT INDEPENDENTLY VERIFIED</t>
  </si>
  <si>
    <t>Rents</t>
  </si>
  <si>
    <t>The listing agent reports all three units are under lease at the stated rents. Lease copies have not yet been obtained. A buyer should require the full rent roll, lease copies, and tenant estoppel certificates during due diligence.</t>
  </si>
  <si>
    <t>Vacancy option</t>
  </si>
  <si>
    <t>Garage conversion</t>
  </si>
  <si>
    <t>Reported as a non-conforming, unpermitted garage conversion containing a kitchen, 3/4 bathroom, and loft. It is currently rented. The seller has offered to convert it back to a garage at the seller's cost if the buyer prefers.</t>
  </si>
  <si>
    <t>ESTIMATED BY BAYBROOK REALTY</t>
  </si>
  <si>
    <t>Operating expenses</t>
  </si>
  <si>
    <t>Insurance, water and sewer, refuse, gas, electric, landscaping, maintenance, and management are BayBrook estimates based on property type, age, unit count, and metering configuration shown in the MLS. They are not actual figures from the seller. A buyer should replace every one of them with real quotes and actual bills.</t>
  </si>
  <si>
    <t>Vacancy rate</t>
  </si>
  <si>
    <t>5% is an estimate. Published Long Beach multifamily vacancy was reported near 6.2% across all classes in Q2 2026.</t>
  </si>
  <si>
    <t>Loan terms</t>
  </si>
  <si>
    <t>Down payment, rate, and amortization are illustrative. This workbook is not a loan quote and BayBrook Realty is not a lender.</t>
  </si>
  <si>
    <t>MATERIAL RISKS A BUYER SHOULD EVALUATE</t>
  </si>
  <si>
    <t>Unpermitted unit</t>
  </si>
  <si>
    <t>The garage conversion is not permitted. An appraiser may assign no value to it and a lender may exclude its income from qualifying. Scenario A shows the property with that income removed entirely so a buyer can see the downside case.</t>
  </si>
  <si>
    <t>Rent regulation</t>
  </si>
  <si>
    <t>Long Beach has no local rent control ordinance, but California's AB 1482 Tenant Protection Act applies statewide to most multi-family buildings 15 years or older. For the Long Beach area the maximum annual rent increase is 8.7% effective August 1, 2026 through July 31, 2027, and just cause is required to end a tenancy after 12 months. Buyer should confirm applicability with counsel.</t>
  </si>
  <si>
    <t>ADU potential</t>
  </si>
  <si>
    <t>The 7,056 sq ft lot is substantially larger than most comparable properties in the area. California SB 1211 permits detached ADUs on multifamily lots, capped at the number of primary units. BayBrook has NOT verified what would actually fit on this lot under Long Beach's local ordinance, setbacks, or parking requirements. Buyer to investigate independently.</t>
  </si>
  <si>
    <t>Square footage</t>
  </si>
  <si>
    <t>The MLS reports 2,085 permitted square feet while the listing agent describes the front house alone as approximately 1,700 square feet. Buyer to verify square footage, permit status, and unit count with the City of Long Beach.</t>
  </si>
  <si>
    <t>DISCLAIMER</t>
  </si>
  <si>
    <t>This workbook is provided for discussion purposes only. It is not an appraisal, a tax opinion, a legal opinion, or investment advice. BayBrook Realty does not guarantee the accuracy of any figure shown. Every number should be independently verified by the buyer and the buyer's own attorney, accountant, lender, and inspectors before the buyer relies on it.</t>
  </si>
  <si>
    <t>Broker: BayBrook Realty, Firm DRE #02110133  |  949.232.4044</t>
  </si>
  <si>
    <t>Reported by the owner as the current lease rent. Lease copies, if available, to be provided during due diligence.</t>
  </si>
  <si>
    <t>Seller's current assessed value is $46,998 with an annual bill of $1,160.11. A buyer will be reassessed at the purchase price under Proposition 13/19, which is the single largest change to the expense picture.</t>
  </si>
  <si>
    <t xml:space="preserve">MLS OC26083839. List date 04/23/26, original list price $1,099,900, reduced to $1,049,900 on 07/08/26. </t>
  </si>
  <si>
    <t>The listing agent reports the property can be delivered vacant in whole or in part at the buyer's election. Current tenant in main home that pays $5,000 willing to sign a 12 - 24 month lease as well if new owner desires.</t>
  </si>
  <si>
    <t>Two larger homes on one lot, both remodeled. Driveway plus 2-car garage. Second home above garages, fronts 7th St. 6,732 sq ft lot.</t>
  </si>
  <si>
    <t>4.9 - 6.1%</t>
  </si>
  <si>
    <t>Gas</t>
  </si>
  <si>
    <t>Tenant Pays</t>
  </si>
  <si>
    <t>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</si>
</sst>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quot;#,##0\);\-"/>
    <numFmt numFmtId="165" formatCode="0.0%;\(0.0%\);\-"/>
    <numFmt numFmtId="166" formatCode="0.00\x"/>
    <numFmt numFmtId="167" formatCode="#,##0;\(#,##0\);\-"/>
    <numFmt numFmtId="168" formatCode="0.0000%"/>
    <numFmt numFmtId="169" formatCode="\$#,##0.00;&quot;($&quot;#,##0.00\);\-"/>
  </numFmts>
  <fonts count="10" x14ac:knownFonts="1">
    <font>
      <sz val="11"/>
      <color theme="1"/>
      <name val="Calibri"/>
      <family val="2"/>
      <charset val="1"/>
    </font>
    <font>
      <b/>
      <sz val="14"/>
      <color rgb="FF1A1A1A"/>
      <name val="Arial"/>
      <charset val="1"/>
    </font>
    <font>
      <i/>
      <sz val="9"/>
      <color rgb="FF595959"/>
      <name val="Arial"/>
      <charset val="1"/>
    </font>
    <font>
      <i/>
      <sz val="9"/>
      <color rgb="FFC00000"/>
      <name val="Arial"/>
      <charset val="1"/>
    </font>
    <font>
      <b/>
      <sz val="10"/>
      <color rgb="FF0E5D74"/>
      <name val="Arial"/>
      <charset val="1"/>
    </font>
    <font>
      <b/>
      <sz val="10"/>
      <name val="Arial"/>
      <charset val="1"/>
    </font>
    <font>
      <sz val="10"/>
      <name val="Arial"/>
      <charset val="1"/>
    </font>
    <font>
      <b/>
      <sz val="10"/>
      <color rgb="FFFFFFFF"/>
      <name val="Arial"/>
      <charset val="1"/>
    </font>
    <font>
      <sz val="10"/>
      <color rgb="FF008000"/>
      <name val="Arial"/>
      <charset val="1"/>
    </font>
    <font>
      <sz val="10"/>
      <color rgb="FF0000FF"/>
      <name val="Arial"/>
      <charset val="1"/>
    </font>
  </fonts>
  <fills count="8">
    <fill>
      <patternFill patternType="none"/>
    </fill>
    <fill>
      <patternFill patternType="gray125"/>
    </fill>
    <fill>
      <patternFill patternType="solid">
        <fgColor rgb="FF1F4E5F"/>
        <bgColor rgb="FF0E5D74"/>
      </patternFill>
    </fill>
    <fill>
      <patternFill patternType="solid">
        <fgColor rgb="FFEAF1F4"/>
        <bgColor rgb="FFF8F6F2"/>
      </patternFill>
    </fill>
    <fill>
      <patternFill patternType="solid">
        <fgColor rgb="FFF8F6F2"/>
        <bgColor rgb="FFEAF1F4"/>
      </patternFill>
    </fill>
    <fill>
      <patternFill patternType="solid">
        <fgColor rgb="FFFFFF99"/>
        <bgColor rgb="FFF8F6F2"/>
      </patternFill>
    </fill>
    <fill>
      <patternFill patternType="solid">
        <fgColor rgb="FF92D050"/>
        <bgColor indexed="64"/>
      </patternFill>
    </fill>
    <fill>
      <patternFill patternType="solid">
        <fgColor rgb="FF92D050"/>
        <bgColor rgb="FFF8F6F2"/>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medium">
        <color rgb="FF1F4E5F"/>
      </top>
      <bottom/>
      <diagonal/>
    </border>
    <border>
      <left style="thin">
        <color rgb="FFBFBFBF"/>
      </left>
      <right style="thin">
        <color rgb="FFBFBFBF"/>
      </right>
      <top style="medium">
        <color rgb="FF1F4E5F"/>
      </top>
      <bottom style="thin">
        <color rgb="FFBFBFBF"/>
      </bottom>
      <diagonal/>
    </border>
  </borders>
  <cellStyleXfs count="1">
    <xf numFmtId="0" fontId="0" fillId="0" borderId="0"/>
  </cellStyleXfs>
  <cellXfs count="68">
    <xf numFmtId="0" fontId="0" fillId="0" borderId="0" xfId="0"/>
    <xf numFmtId="0" fontId="2" fillId="0" borderId="0" xfId="0" applyFont="1" applyBorder="1"/>
    <xf numFmtId="0" fontId="5" fillId="0" borderId="0" xfId="0" applyFont="1" applyBorder="1"/>
    <xf numFmtId="0" fontId="6" fillId="0" borderId="0" xfId="0" applyFont="1" applyBorder="1" applyAlignment="1">
      <alignment vertical="top" wrapText="1"/>
    </xf>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horizontal="left"/>
    </xf>
    <xf numFmtId="0" fontId="0" fillId="2" borderId="0" xfId="0" applyFill="1"/>
    <xf numFmtId="0" fontId="7" fillId="2" borderId="0" xfId="0" applyFont="1" applyFill="1" applyAlignment="1">
      <alignment horizontal="center" vertical="center" wrapText="1"/>
    </xf>
    <xf numFmtId="164" fontId="8" fillId="0" borderId="1" xfId="0" applyNumberFormat="1" applyFont="1" applyBorder="1" applyAlignment="1">
      <alignment horizontal="center"/>
    </xf>
    <xf numFmtId="0" fontId="5" fillId="3" borderId="0" xfId="0" applyFont="1" applyFill="1"/>
    <xf numFmtId="164" fontId="8" fillId="3" borderId="1" xfId="0" applyNumberFormat="1" applyFont="1" applyFill="1" applyBorder="1" applyAlignment="1">
      <alignment horizontal="center"/>
    </xf>
    <xf numFmtId="165" fontId="8" fillId="3" borderId="1" xfId="0" applyNumberFormat="1" applyFont="1" applyFill="1" applyBorder="1" applyAlignment="1">
      <alignment horizontal="center"/>
    </xf>
    <xf numFmtId="166" fontId="8" fillId="0" borderId="1" xfId="0" applyNumberFormat="1" applyFont="1" applyBorder="1" applyAlignment="1">
      <alignment horizontal="center"/>
    </xf>
    <xf numFmtId="165" fontId="8" fillId="0" borderId="1" xfId="0" applyNumberFormat="1" applyFont="1" applyBorder="1" applyAlignment="1">
      <alignment horizontal="center"/>
    </xf>
    <xf numFmtId="166" fontId="8" fillId="3" borderId="1" xfId="0" applyNumberFormat="1" applyFont="1" applyFill="1" applyBorder="1" applyAlignment="1">
      <alignment horizontal="center"/>
    </xf>
    <xf numFmtId="0" fontId="4" fillId="4" borderId="2" xfId="0" applyFont="1" applyFill="1" applyBorder="1"/>
    <xf numFmtId="0" fontId="0" fillId="4" borderId="0" xfId="0" applyFill="1"/>
    <xf numFmtId="0" fontId="6" fillId="0" borderId="0" xfId="0" applyFont="1"/>
    <xf numFmtId="164" fontId="9" fillId="5" borderId="1" xfId="0" applyNumberFormat="1" applyFont="1" applyFill="1" applyBorder="1" applyAlignment="1">
      <alignment horizontal="center"/>
    </xf>
    <xf numFmtId="0" fontId="2" fillId="0" borderId="0" xfId="0" applyFont="1" applyAlignment="1">
      <alignment vertical="center" wrapText="1"/>
    </xf>
    <xf numFmtId="167" fontId="9" fillId="5" borderId="1" xfId="0" applyNumberFormat="1" applyFont="1" applyFill="1" applyBorder="1" applyAlignment="1">
      <alignment horizontal="center"/>
    </xf>
    <xf numFmtId="164" fontId="5" fillId="0" borderId="1" xfId="0" applyNumberFormat="1" applyFont="1" applyBorder="1" applyAlignment="1">
      <alignment horizontal="center"/>
    </xf>
    <xf numFmtId="165" fontId="9" fillId="5" borderId="1" xfId="0" applyNumberFormat="1" applyFont="1" applyFill="1" applyBorder="1" applyAlignment="1">
      <alignment horizontal="center"/>
    </xf>
    <xf numFmtId="168" fontId="9" fillId="5" borderId="1" xfId="0" applyNumberFormat="1" applyFont="1" applyFill="1" applyBorder="1" applyAlignment="1">
      <alignment horizontal="center"/>
    </xf>
    <xf numFmtId="0" fontId="4" fillId="4" borderId="0" xfId="0" applyFont="1" applyFill="1"/>
    <xf numFmtId="164" fontId="5" fillId="3" borderId="1" xfId="0" applyNumberFormat="1" applyFont="1" applyFill="1" applyBorder="1" applyAlignment="1">
      <alignment horizontal="center"/>
    </xf>
    <xf numFmtId="164" fontId="6" fillId="0" borderId="1" xfId="0" applyNumberFormat="1" applyFont="1" applyBorder="1" applyAlignment="1">
      <alignment horizontal="center"/>
    </xf>
    <xf numFmtId="165" fontId="6" fillId="0" borderId="1" xfId="0" applyNumberFormat="1" applyFont="1" applyBorder="1" applyAlignment="1">
      <alignment horizontal="center"/>
    </xf>
    <xf numFmtId="0" fontId="5" fillId="0" borderId="3" xfId="0" applyFont="1" applyBorder="1"/>
    <xf numFmtId="164" fontId="5" fillId="3" borderId="3" xfId="0" applyNumberFormat="1" applyFont="1" applyFill="1" applyBorder="1" applyAlignment="1">
      <alignment horizontal="center"/>
    </xf>
    <xf numFmtId="165" fontId="5" fillId="3" borderId="1" xfId="0" applyNumberFormat="1" applyFont="1" applyFill="1" applyBorder="1" applyAlignment="1">
      <alignment horizontal="center"/>
    </xf>
    <xf numFmtId="166" fontId="5" fillId="3" borderId="1" xfId="0" applyNumberFormat="1" applyFont="1" applyFill="1" applyBorder="1" applyAlignment="1">
      <alignment horizontal="center"/>
    </xf>
    <xf numFmtId="169" fontId="6" fillId="0" borderId="1" xfId="0" applyNumberFormat="1" applyFont="1" applyBorder="1" applyAlignment="1">
      <alignment horizontal="center"/>
    </xf>
    <xf numFmtId="0" fontId="5" fillId="5" borderId="1" xfId="0" applyFont="1" applyFill="1" applyBorder="1"/>
    <xf numFmtId="0" fontId="6" fillId="5" borderId="1" xfId="0" applyFont="1" applyFill="1" applyBorder="1"/>
    <xf numFmtId="164" fontId="6" fillId="5" borderId="1" xfId="0" applyNumberFormat="1" applyFont="1" applyFill="1" applyBorder="1"/>
    <xf numFmtId="169" fontId="6" fillId="5" borderId="1" xfId="0" applyNumberFormat="1" applyFont="1" applyFill="1" applyBorder="1"/>
    <xf numFmtId="167" fontId="6" fillId="5" borderId="1" xfId="0" applyNumberFormat="1" applyFont="1" applyFill="1" applyBorder="1"/>
    <xf numFmtId="0" fontId="0" fillId="5" borderId="1" xfId="0" applyFill="1" applyBorder="1"/>
    <xf numFmtId="0" fontId="2" fillId="5" borderId="1" xfId="0" applyFont="1" applyFill="1" applyBorder="1" applyAlignment="1">
      <alignment vertical="top" wrapText="1"/>
    </xf>
    <xf numFmtId="169" fontId="5" fillId="0" borderId="1" xfId="0" applyNumberFormat="1" applyFont="1" applyBorder="1" applyAlignment="1">
      <alignment horizontal="center"/>
    </xf>
    <xf numFmtId="167" fontId="5" fillId="0" borderId="1" xfId="0" applyNumberFormat="1" applyFont="1" applyBorder="1" applyAlignment="1">
      <alignment horizontal="center"/>
    </xf>
    <xf numFmtId="0" fontId="7" fillId="2" borderId="0" xfId="0" applyFont="1" applyFill="1" applyAlignment="1">
      <alignment horizontal="center"/>
    </xf>
    <xf numFmtId="166" fontId="6" fillId="0" borderId="1" xfId="0" applyNumberFormat="1" applyFont="1" applyBorder="1" applyAlignment="1">
      <alignment horizontal="center"/>
    </xf>
    <xf numFmtId="0" fontId="5" fillId="5" borderId="0" xfId="0" applyFont="1" applyFill="1"/>
    <xf numFmtId="0" fontId="6" fillId="5" borderId="0" xfId="0" applyFont="1" applyFill="1"/>
    <xf numFmtId="164" fontId="8" fillId="5" borderId="1" xfId="0" applyNumberFormat="1" applyFont="1" applyFill="1" applyBorder="1" applyAlignment="1">
      <alignment horizontal="center"/>
    </xf>
    <xf numFmtId="166" fontId="8" fillId="5" borderId="1" xfId="0" applyNumberFormat="1" applyFont="1" applyFill="1" applyBorder="1" applyAlignment="1">
      <alignment horizontal="center"/>
    </xf>
    <xf numFmtId="165" fontId="8" fillId="5" borderId="1" xfId="0" applyNumberFormat="1" applyFont="1" applyFill="1" applyBorder="1" applyAlignment="1">
      <alignment horizontal="center"/>
    </xf>
    <xf numFmtId="0" fontId="5" fillId="0" borderId="0" xfId="0" applyFont="1" applyAlignment="1">
      <alignment vertical="top" wrapText="1"/>
    </xf>
    <xf numFmtId="0" fontId="6" fillId="0" borderId="0" xfId="0" applyFont="1" applyAlignment="1">
      <alignment vertical="top" wrapText="1"/>
    </xf>
    <xf numFmtId="0" fontId="6" fillId="6" borderId="1" xfId="0" applyFont="1" applyFill="1" applyBorder="1"/>
    <xf numFmtId="164" fontId="6" fillId="6" borderId="1" xfId="0" applyNumberFormat="1" applyFont="1" applyFill="1" applyBorder="1"/>
    <xf numFmtId="169" fontId="6" fillId="6" borderId="1" xfId="0" applyNumberFormat="1" applyFont="1" applyFill="1" applyBorder="1"/>
    <xf numFmtId="167" fontId="6" fillId="6" borderId="1" xfId="0" applyNumberFormat="1" applyFont="1" applyFill="1" applyBorder="1"/>
    <xf numFmtId="165" fontId="6" fillId="6" borderId="1" xfId="0" applyNumberFormat="1" applyFont="1" applyFill="1" applyBorder="1"/>
    <xf numFmtId="0" fontId="2" fillId="6" borderId="1" xfId="0" applyFont="1" applyFill="1" applyBorder="1" applyAlignment="1">
      <alignment vertical="top" wrapText="1"/>
    </xf>
    <xf numFmtId="0" fontId="6" fillId="7" borderId="1" xfId="0" applyFont="1" applyFill="1" applyBorder="1"/>
    <xf numFmtId="164" fontId="6" fillId="7" borderId="1" xfId="0" applyNumberFormat="1" applyFont="1" applyFill="1" applyBorder="1"/>
    <xf numFmtId="169" fontId="6" fillId="7" borderId="1" xfId="0" applyNumberFormat="1" applyFont="1" applyFill="1" applyBorder="1"/>
    <xf numFmtId="167" fontId="6" fillId="7" borderId="1" xfId="0" applyNumberFormat="1" applyFont="1" applyFill="1" applyBorder="1"/>
    <xf numFmtId="165" fontId="6" fillId="7" borderId="1" xfId="0" applyNumberFormat="1" applyFont="1" applyFill="1" applyBorder="1"/>
    <xf numFmtId="0" fontId="2" fillId="7" borderId="1" xfId="0" applyFont="1" applyFill="1" applyBorder="1" applyAlignment="1">
      <alignment vertical="top" wrapText="1"/>
    </xf>
    <xf numFmtId="0" fontId="0" fillId="6" borderId="1" xfId="0" applyFill="1" applyBorder="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E5D74"/>
      <rgbColor rgb="FFBFBFBF"/>
      <rgbColor rgb="FF808080"/>
      <rgbColor rgb="FF9999FF"/>
      <rgbColor rgb="FF993366"/>
      <rgbColor rgb="FFF8F6F2"/>
      <rgbColor rgb="FFEAF1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4E5F"/>
      <rgbColor rgb="FF339966"/>
      <rgbColor rgb="FF003300"/>
      <rgbColor rgb="FF333300"/>
      <rgbColor rgb="FF993300"/>
      <rgbColor rgb="FF993366"/>
      <rgbColor rgb="FF33339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zoomScaleNormal="100" workbookViewId="0">
      <selection activeCell="B18" sqref="B18"/>
    </sheetView>
  </sheetViews>
  <sheetFormatPr defaultColWidth="8.7109375" defaultRowHeight="15" x14ac:dyDescent="0.25"/>
  <cols>
    <col min="1" max="1" width="44" customWidth="1"/>
    <col min="2" max="3" width="20" customWidth="1"/>
    <col min="4" max="4" width="46" customWidth="1"/>
  </cols>
  <sheetData>
    <row r="1" spans="1:4" ht="18" x14ac:dyDescent="0.25">
      <c r="A1" s="4" t="s">
        <v>0</v>
      </c>
    </row>
    <row r="2" spans="1:4" x14ac:dyDescent="0.25">
      <c r="A2" s="5" t="s">
        <v>1</v>
      </c>
    </row>
    <row r="3" spans="1:4" x14ac:dyDescent="0.25">
      <c r="A3" s="5" t="s">
        <v>228</v>
      </c>
    </row>
    <row r="4" spans="1:4" x14ac:dyDescent="0.25">
      <c r="A4" s="6" t="s">
        <v>2</v>
      </c>
    </row>
    <row r="6" spans="1:4" x14ac:dyDescent="0.25">
      <c r="A6" s="7" t="s">
        <v>3</v>
      </c>
    </row>
    <row r="7" spans="1:4" x14ac:dyDescent="0.25">
      <c r="A7" s="8" t="s">
        <v>4</v>
      </c>
      <c r="B7" s="9" t="s">
        <v>5</v>
      </c>
    </row>
    <row r="8" spans="1:4" x14ac:dyDescent="0.25">
      <c r="A8" s="8" t="s">
        <v>6</v>
      </c>
      <c r="B8" s="9" t="s">
        <v>7</v>
      </c>
    </row>
    <row r="9" spans="1:4" x14ac:dyDescent="0.25">
      <c r="A9" s="8" t="s">
        <v>8</v>
      </c>
      <c r="B9" s="9" t="s">
        <v>9</v>
      </c>
    </row>
    <row r="10" spans="1:4" x14ac:dyDescent="0.25">
      <c r="A10" s="8" t="s">
        <v>10</v>
      </c>
      <c r="B10" s="9" t="s">
        <v>11</v>
      </c>
    </row>
    <row r="11" spans="1:4" x14ac:dyDescent="0.25">
      <c r="A11" s="8" t="s">
        <v>12</v>
      </c>
      <c r="B11" s="9" t="s">
        <v>13</v>
      </c>
    </row>
    <row r="12" spans="1:4" x14ac:dyDescent="0.25">
      <c r="A12" s="8" t="s">
        <v>14</v>
      </c>
      <c r="B12" s="9" t="s">
        <v>15</v>
      </c>
    </row>
    <row r="15" spans="1:4" x14ac:dyDescent="0.25">
      <c r="A15" s="7" t="s">
        <v>16</v>
      </c>
    </row>
    <row r="16" spans="1:4" ht="31.5" customHeight="1" x14ac:dyDescent="0.25">
      <c r="A16" s="10"/>
      <c r="B16" s="11" t="s">
        <v>17</v>
      </c>
      <c r="C16" s="11" t="s">
        <v>18</v>
      </c>
      <c r="D16" s="11" t="s">
        <v>19</v>
      </c>
    </row>
    <row r="17" spans="1:4" x14ac:dyDescent="0.25">
      <c r="A17" s="8" t="s">
        <v>20</v>
      </c>
      <c r="B17" s="12">
        <f>Assumptions!$B$6</f>
        <v>1049900</v>
      </c>
      <c r="C17" s="12">
        <f>Assumptions!$C$6</f>
        <v>1049900</v>
      </c>
      <c r="D17" s="5" t="s">
        <v>21</v>
      </c>
    </row>
    <row r="18" spans="1:4" x14ac:dyDescent="0.25">
      <c r="A18" s="13" t="s">
        <v>22</v>
      </c>
      <c r="B18" s="14">
        <f>Proforma!B9</f>
        <v>81000</v>
      </c>
      <c r="C18" s="14">
        <f>Proforma!C9</f>
        <v>95400</v>
      </c>
      <c r="D18" s="5" t="s">
        <v>23</v>
      </c>
    </row>
    <row r="19" spans="1:4" x14ac:dyDescent="0.25">
      <c r="A19" s="8" t="s">
        <v>24</v>
      </c>
      <c r="B19" s="12">
        <f>Proforma!B27</f>
        <v>51861.740098000002</v>
      </c>
      <c r="C19" s="12">
        <f>Proforma!C27</f>
        <v>63941.740098000002</v>
      </c>
      <c r="D19" s="5" t="s">
        <v>25</v>
      </c>
    </row>
    <row r="20" spans="1:4" x14ac:dyDescent="0.25">
      <c r="A20" s="13" t="s">
        <v>26</v>
      </c>
      <c r="B20" s="15">
        <f>Proforma!B31</f>
        <v>4.9396837887417853E-2</v>
      </c>
      <c r="C20" s="15">
        <f>Proforma!C31</f>
        <v>6.0902695588151257E-2</v>
      </c>
      <c r="D20" s="5" t="s">
        <v>27</v>
      </c>
    </row>
    <row r="21" spans="1:4" x14ac:dyDescent="0.25">
      <c r="A21" s="8" t="s">
        <v>28</v>
      </c>
      <c r="B21" s="16">
        <f>Proforma!B32</f>
        <v>12.961728395061728</v>
      </c>
      <c r="C21" s="16">
        <f>Proforma!C32</f>
        <v>11.00524109014675</v>
      </c>
      <c r="D21" s="5" t="s">
        <v>29</v>
      </c>
    </row>
    <row r="22" spans="1:4" x14ac:dyDescent="0.25">
      <c r="A22" s="13" t="s">
        <v>30</v>
      </c>
      <c r="B22" s="14">
        <f>Proforma!B33</f>
        <v>524950</v>
      </c>
      <c r="C22" s="14">
        <f>Proforma!C33</f>
        <v>349966.66666666669</v>
      </c>
      <c r="D22" s="5" t="s">
        <v>31</v>
      </c>
    </row>
    <row r="23" spans="1:4" x14ac:dyDescent="0.25">
      <c r="A23" s="8" t="s">
        <v>32</v>
      </c>
      <c r="B23" s="12">
        <f>Proforma!B34</f>
        <v>503.54916067146286</v>
      </c>
      <c r="C23" s="12">
        <f>Proforma!C34</f>
        <v>503.54916067146286</v>
      </c>
      <c r="D23" s="5" t="s">
        <v>33</v>
      </c>
    </row>
    <row r="24" spans="1:4" x14ac:dyDescent="0.25">
      <c r="A24" s="13" t="s">
        <v>34</v>
      </c>
      <c r="B24" s="15">
        <f>Proforma!B25</f>
        <v>0.32603326708252112</v>
      </c>
      <c r="C24" s="15">
        <f>Proforma!C25</f>
        <v>0.29447489685534589</v>
      </c>
      <c r="D24" s="5" t="s">
        <v>35</v>
      </c>
    </row>
    <row r="25" spans="1:4" x14ac:dyDescent="0.25">
      <c r="A25" s="8" t="s">
        <v>36</v>
      </c>
      <c r="B25" s="12">
        <f>Financing!B10</f>
        <v>40857.788495218148</v>
      </c>
      <c r="C25" s="12">
        <f>Financing!C10</f>
        <v>40857.788495218148</v>
      </c>
      <c r="D25" s="5" t="s">
        <v>37</v>
      </c>
    </row>
    <row r="26" spans="1:4" x14ac:dyDescent="0.25">
      <c r="A26" s="13" t="s">
        <v>38</v>
      </c>
      <c r="B26" s="14">
        <f>Financing!B12</f>
        <v>11003.951602781854</v>
      </c>
      <c r="C26" s="14">
        <f>Financing!C12</f>
        <v>23083.951602781854</v>
      </c>
      <c r="D26" s="5" t="s">
        <v>39</v>
      </c>
    </row>
    <row r="27" spans="1:4" x14ac:dyDescent="0.25">
      <c r="A27" s="8" t="s">
        <v>40</v>
      </c>
      <c r="B27" s="17">
        <f>Financing!B13</f>
        <v>2.096190418664988E-2</v>
      </c>
      <c r="C27" s="17">
        <f>Financing!C13</f>
        <v>4.3973619588116686E-2</v>
      </c>
      <c r="D27" s="5" t="s">
        <v>41</v>
      </c>
    </row>
    <row r="28" spans="1:4" x14ac:dyDescent="0.25">
      <c r="A28" s="13" t="s">
        <v>42</v>
      </c>
      <c r="B28" s="18">
        <f>Financing!B14</f>
        <v>1.2693232308466651</v>
      </c>
      <c r="C28" s="18">
        <f>Financing!C14</f>
        <v>1.5649828943992776</v>
      </c>
      <c r="D28" s="5" t="s">
        <v>43</v>
      </c>
    </row>
    <row r="31" spans="1:4" x14ac:dyDescent="0.25">
      <c r="A31" s="7" t="s">
        <v>44</v>
      </c>
    </row>
    <row r="32" spans="1:4" ht="25.5" customHeight="1" x14ac:dyDescent="0.25">
      <c r="A32" s="3" t="s">
        <v>45</v>
      </c>
      <c r="B32" s="3"/>
      <c r="C32" s="3"/>
      <c r="D32" s="3"/>
    </row>
    <row r="33" spans="1:4" ht="25.5" customHeight="1" x14ac:dyDescent="0.25">
      <c r="A33" s="3" t="s">
        <v>46</v>
      </c>
      <c r="B33" s="3"/>
      <c r="C33" s="3"/>
      <c r="D33" s="3"/>
    </row>
    <row r="34" spans="1:4" ht="25.5" customHeight="1" x14ac:dyDescent="0.25">
      <c r="A34" s="3" t="s">
        <v>47</v>
      </c>
      <c r="B34" s="3"/>
      <c r="C34" s="3"/>
      <c r="D34" s="3"/>
    </row>
    <row r="35" spans="1:4" ht="25.5" customHeight="1" x14ac:dyDescent="0.25">
      <c r="A35" s="3" t="s">
        <v>48</v>
      </c>
      <c r="B35" s="3"/>
      <c r="C35" s="3"/>
      <c r="D35" s="3"/>
    </row>
    <row r="36" spans="1:4" ht="25.5" customHeight="1" x14ac:dyDescent="0.25">
      <c r="A36" s="3" t="s">
        <v>49</v>
      </c>
      <c r="B36" s="3"/>
      <c r="C36" s="3"/>
      <c r="D36" s="3"/>
    </row>
    <row r="37" spans="1:4" ht="25.5" customHeight="1" x14ac:dyDescent="0.25">
      <c r="A37" s="3" t="s">
        <v>50</v>
      </c>
      <c r="B37" s="3"/>
      <c r="C37" s="3"/>
      <c r="D37" s="3"/>
    </row>
    <row r="38" spans="1:4" ht="25.5" customHeight="1" x14ac:dyDescent="0.25">
      <c r="A38" s="3" t="s">
        <v>51</v>
      </c>
      <c r="B38" s="3"/>
      <c r="C38" s="3"/>
      <c r="D38" s="3"/>
    </row>
  </sheetData>
  <mergeCells count="7">
    <mergeCell ref="A37:D37"/>
    <mergeCell ref="A38:D38"/>
    <mergeCell ref="A32:D32"/>
    <mergeCell ref="A33:D33"/>
    <mergeCell ref="A34:D34"/>
    <mergeCell ref="A35:D35"/>
    <mergeCell ref="A36:D36"/>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
  <sheetViews>
    <sheetView showGridLines="0" tabSelected="1" topLeftCell="A16" zoomScaleNormal="100" workbookViewId="0">
      <selection activeCell="B34" sqref="B34"/>
    </sheetView>
  </sheetViews>
  <sheetFormatPr defaultColWidth="8.7109375" defaultRowHeight="15" x14ac:dyDescent="0.25"/>
  <cols>
    <col min="1" max="1" width="44" customWidth="1"/>
    <col min="2" max="3" width="18" customWidth="1"/>
    <col min="4" max="4" width="62" customWidth="1"/>
  </cols>
  <sheetData>
    <row r="1" spans="1:4" ht="18" x14ac:dyDescent="0.25">
      <c r="A1" s="4" t="s">
        <v>52</v>
      </c>
    </row>
    <row r="2" spans="1:4" x14ac:dyDescent="0.25">
      <c r="A2" s="5" t="s">
        <v>53</v>
      </c>
    </row>
    <row r="4" spans="1:4" ht="31.5" customHeight="1" x14ac:dyDescent="0.25">
      <c r="A4" s="10"/>
      <c r="B4" s="11" t="s">
        <v>54</v>
      </c>
      <c r="C4" s="11" t="s">
        <v>18</v>
      </c>
      <c r="D4" s="11" t="s">
        <v>55</v>
      </c>
    </row>
    <row r="5" spans="1:4" x14ac:dyDescent="0.25">
      <c r="A5" s="19" t="s">
        <v>56</v>
      </c>
      <c r="B5" s="20"/>
      <c r="C5" s="20"/>
      <c r="D5" s="20"/>
    </row>
    <row r="6" spans="1:4" x14ac:dyDescent="0.25">
      <c r="A6" s="21" t="s">
        <v>57</v>
      </c>
      <c r="B6" s="22">
        <v>1049900</v>
      </c>
      <c r="C6" s="22">
        <v>1049900</v>
      </c>
      <c r="D6" s="23" t="s">
        <v>58</v>
      </c>
    </row>
    <row r="7" spans="1:4" ht="24" x14ac:dyDescent="0.25">
      <c r="A7" s="21" t="s">
        <v>59</v>
      </c>
      <c r="B7" s="24">
        <v>2085</v>
      </c>
      <c r="C7" s="24">
        <v>2085</v>
      </c>
      <c r="D7" s="23" t="s">
        <v>60</v>
      </c>
    </row>
    <row r="8" spans="1:4" x14ac:dyDescent="0.25">
      <c r="A8" s="21" t="s">
        <v>61</v>
      </c>
      <c r="B8" s="24">
        <v>7056</v>
      </c>
      <c r="C8" s="24">
        <v>7056</v>
      </c>
      <c r="D8" s="23" t="s">
        <v>62</v>
      </c>
    </row>
    <row r="9" spans="1:4" x14ac:dyDescent="0.25">
      <c r="A9" s="21" t="s">
        <v>63</v>
      </c>
      <c r="B9" s="24">
        <v>2</v>
      </c>
      <c r="C9" s="24">
        <v>3</v>
      </c>
      <c r="D9" s="23" t="s">
        <v>64</v>
      </c>
    </row>
    <row r="11" spans="1:4" x14ac:dyDescent="0.25">
      <c r="A11" s="19" t="s">
        <v>65</v>
      </c>
      <c r="B11" s="20"/>
      <c r="C11" s="20"/>
      <c r="D11" s="20"/>
    </row>
    <row r="12" spans="1:4" ht="24" x14ac:dyDescent="0.25">
      <c r="A12" s="21" t="s">
        <v>66</v>
      </c>
      <c r="B12" s="22">
        <v>5000</v>
      </c>
      <c r="C12" s="22">
        <v>5000</v>
      </c>
      <c r="D12" s="23" t="s">
        <v>229</v>
      </c>
    </row>
    <row r="13" spans="1:4" ht="24" x14ac:dyDescent="0.25">
      <c r="A13" s="21" t="s">
        <v>67</v>
      </c>
      <c r="B13" s="22">
        <v>1750</v>
      </c>
      <c r="C13" s="22">
        <v>1750</v>
      </c>
      <c r="D13" s="23" t="s">
        <v>229</v>
      </c>
    </row>
    <row r="14" spans="1:4" ht="24" x14ac:dyDescent="0.25">
      <c r="A14" s="21" t="s">
        <v>68</v>
      </c>
      <c r="B14" s="22">
        <v>0</v>
      </c>
      <c r="C14" s="22">
        <v>1200</v>
      </c>
      <c r="D14" s="23" t="s">
        <v>69</v>
      </c>
    </row>
    <row r="15" spans="1:4" x14ac:dyDescent="0.25">
      <c r="A15" s="8" t="s">
        <v>70</v>
      </c>
      <c r="B15" s="25">
        <f>SUM(B12:B14)</f>
        <v>6750</v>
      </c>
      <c r="C15" s="25">
        <f>SUM(C12:C14)</f>
        <v>7950</v>
      </c>
    </row>
    <row r="17" spans="1:4" x14ac:dyDescent="0.25">
      <c r="A17" s="19" t="s">
        <v>71</v>
      </c>
      <c r="B17" s="20"/>
      <c r="C17" s="20"/>
      <c r="D17" s="20"/>
    </row>
    <row r="18" spans="1:4" ht="24" x14ac:dyDescent="0.25">
      <c r="A18" s="21" t="s">
        <v>72</v>
      </c>
      <c r="B18" s="26">
        <v>0.05</v>
      </c>
      <c r="C18" s="26">
        <v>0.05</v>
      </c>
      <c r="D18" s="23" t="s">
        <v>73</v>
      </c>
    </row>
    <row r="20" spans="1:4" x14ac:dyDescent="0.25">
      <c r="A20" s="19" t="s">
        <v>74</v>
      </c>
      <c r="B20" s="20"/>
      <c r="C20" s="20"/>
      <c r="D20" s="20"/>
    </row>
    <row r="21" spans="1:4" ht="36" x14ac:dyDescent="0.25">
      <c r="A21" s="21" t="s">
        <v>75</v>
      </c>
      <c r="B21" s="27">
        <v>1.2690979999999999E-2</v>
      </c>
      <c r="C21" s="27">
        <v>1.2690979999999999E-2</v>
      </c>
      <c r="D21" s="23" t="s">
        <v>76</v>
      </c>
    </row>
    <row r="22" spans="1:4" ht="36" x14ac:dyDescent="0.25">
      <c r="A22" s="21" t="s">
        <v>77</v>
      </c>
      <c r="B22" s="22">
        <v>564</v>
      </c>
      <c r="C22" s="22">
        <v>564</v>
      </c>
      <c r="D22" s="23" t="s">
        <v>78</v>
      </c>
    </row>
    <row r="23" spans="1:4" ht="24" x14ac:dyDescent="0.25">
      <c r="A23" s="21" t="s">
        <v>79</v>
      </c>
      <c r="B23" s="22">
        <v>4200</v>
      </c>
      <c r="C23" s="22">
        <v>4600</v>
      </c>
      <c r="D23" s="23" t="s">
        <v>80</v>
      </c>
    </row>
    <row r="24" spans="1:4" x14ac:dyDescent="0.25">
      <c r="A24" s="21" t="s">
        <v>81</v>
      </c>
      <c r="B24" s="22">
        <v>2700</v>
      </c>
      <c r="C24" s="22">
        <v>3300</v>
      </c>
      <c r="D24" s="23" t="s">
        <v>82</v>
      </c>
    </row>
    <row r="25" spans="1:4" x14ac:dyDescent="0.25">
      <c r="A25" s="21" t="s">
        <v>83</v>
      </c>
      <c r="B25" s="22">
        <v>1100</v>
      </c>
      <c r="C25" s="22">
        <v>1100</v>
      </c>
      <c r="D25" s="23" t="s">
        <v>84</v>
      </c>
    </row>
    <row r="26" spans="1:4" ht="24" x14ac:dyDescent="0.25">
      <c r="A26" s="21" t="s">
        <v>85</v>
      </c>
      <c r="B26" s="22">
        <v>0</v>
      </c>
      <c r="C26" s="22">
        <v>0</v>
      </c>
      <c r="D26" s="23" t="s">
        <v>86</v>
      </c>
    </row>
    <row r="27" spans="1:4" x14ac:dyDescent="0.25">
      <c r="A27" s="21" t="s">
        <v>87</v>
      </c>
      <c r="B27" s="22">
        <v>0</v>
      </c>
      <c r="C27" s="22">
        <v>0</v>
      </c>
      <c r="D27" s="23" t="s">
        <v>88</v>
      </c>
    </row>
    <row r="28" spans="1:4" x14ac:dyDescent="0.25">
      <c r="A28" s="21" t="s">
        <v>89</v>
      </c>
      <c r="B28" s="22">
        <v>0</v>
      </c>
      <c r="C28" s="22">
        <v>0</v>
      </c>
      <c r="D28" s="23" t="s">
        <v>90</v>
      </c>
    </row>
    <row r="29" spans="1:4" ht="36" x14ac:dyDescent="0.25">
      <c r="A29" s="21" t="s">
        <v>91</v>
      </c>
      <c r="B29" s="22">
        <v>3200</v>
      </c>
      <c r="C29" s="22">
        <v>3800</v>
      </c>
      <c r="D29" s="23" t="s">
        <v>92</v>
      </c>
    </row>
    <row r="30" spans="1:4" x14ac:dyDescent="0.25">
      <c r="A30" s="21" t="s">
        <v>93</v>
      </c>
      <c r="B30" s="26">
        <v>0</v>
      </c>
      <c r="C30" s="26">
        <v>0</v>
      </c>
      <c r="D30" s="23" t="s">
        <v>94</v>
      </c>
    </row>
    <row r="32" spans="1:4" x14ac:dyDescent="0.25">
      <c r="A32" s="19" t="s">
        <v>95</v>
      </c>
      <c r="B32" s="20"/>
      <c r="C32" s="20"/>
      <c r="D32" s="20"/>
    </row>
    <row r="33" spans="1:4" ht="24" x14ac:dyDescent="0.25">
      <c r="A33" s="21" t="s">
        <v>96</v>
      </c>
      <c r="B33" s="26">
        <v>0.5</v>
      </c>
      <c r="C33" s="26">
        <v>0.5</v>
      </c>
      <c r="D33" s="23" t="s">
        <v>97</v>
      </c>
    </row>
    <row r="34" spans="1:4" x14ac:dyDescent="0.25">
      <c r="A34" s="21" t="s">
        <v>98</v>
      </c>
      <c r="B34" s="26">
        <v>6.7500000000000004E-2</v>
      </c>
      <c r="C34" s="26">
        <v>6.7500000000000004E-2</v>
      </c>
      <c r="D34" s="23" t="s">
        <v>99</v>
      </c>
    </row>
    <row r="35" spans="1:4" ht="24" x14ac:dyDescent="0.25">
      <c r="A35" s="21" t="s">
        <v>100</v>
      </c>
      <c r="B35" s="24">
        <v>30</v>
      </c>
      <c r="C35" s="24">
        <v>30</v>
      </c>
      <c r="D35" s="23" t="s">
        <v>101</v>
      </c>
    </row>
    <row r="37" spans="1:4" x14ac:dyDescent="0.25">
      <c r="A37" s="19" t="s">
        <v>102</v>
      </c>
      <c r="B37" s="20"/>
      <c r="C37" s="20"/>
      <c r="D37" s="20"/>
    </row>
    <row r="38" spans="1:4" ht="24" x14ac:dyDescent="0.25">
      <c r="A38" s="21" t="s">
        <v>103</v>
      </c>
      <c r="B38" s="26">
        <v>4.4999999999999998E-2</v>
      </c>
      <c r="C38" s="26">
        <v>4.4999999999999998E-2</v>
      </c>
      <c r="D38" s="23" t="s">
        <v>104</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5"/>
  <sheetViews>
    <sheetView showGridLines="0" zoomScaleNormal="100" workbookViewId="0">
      <selection activeCell="I19" sqref="I19"/>
    </sheetView>
  </sheetViews>
  <sheetFormatPr defaultColWidth="8.7109375" defaultRowHeight="15" x14ac:dyDescent="0.25"/>
  <cols>
    <col min="1" max="1" width="44" customWidth="1"/>
    <col min="2" max="3" width="20" customWidth="1"/>
    <col min="4" max="4" width="48" customWidth="1"/>
  </cols>
  <sheetData>
    <row r="1" spans="1:4" ht="18" x14ac:dyDescent="0.25">
      <c r="A1" s="4" t="s">
        <v>105</v>
      </c>
    </row>
    <row r="2" spans="1:4" x14ac:dyDescent="0.25">
      <c r="A2" s="5" t="s">
        <v>106</v>
      </c>
    </row>
    <row r="4" spans="1:4" ht="31.5" customHeight="1" x14ac:dyDescent="0.25">
      <c r="A4" s="10"/>
      <c r="B4" s="11" t="s">
        <v>54</v>
      </c>
      <c r="C4" s="11" t="s">
        <v>18</v>
      </c>
      <c r="D4" s="11" t="s">
        <v>107</v>
      </c>
    </row>
    <row r="5" spans="1:4" x14ac:dyDescent="0.25">
      <c r="A5" s="28" t="s">
        <v>108</v>
      </c>
      <c r="B5" s="20"/>
      <c r="C5" s="20"/>
      <c r="D5" s="20"/>
    </row>
    <row r="6" spans="1:4" x14ac:dyDescent="0.25">
      <c r="A6" s="21" t="s">
        <v>109</v>
      </c>
      <c r="B6" s="12">
        <f>Assumptions!B12*12</f>
        <v>60000</v>
      </c>
      <c r="C6" s="12">
        <f>Assumptions!C12*12</f>
        <v>60000</v>
      </c>
      <c r="D6" s="23" t="s">
        <v>110</v>
      </c>
    </row>
    <row r="7" spans="1:4" x14ac:dyDescent="0.25">
      <c r="A7" s="21" t="s">
        <v>111</v>
      </c>
      <c r="B7" s="12">
        <f>Assumptions!B13*12</f>
        <v>21000</v>
      </c>
      <c r="C7" s="12">
        <f>Assumptions!C13*12</f>
        <v>21000</v>
      </c>
      <c r="D7" s="23" t="s">
        <v>110</v>
      </c>
    </row>
    <row r="8" spans="1:4" x14ac:dyDescent="0.25">
      <c r="A8" s="21" t="s">
        <v>68</v>
      </c>
      <c r="B8" s="12">
        <f>Assumptions!B14*12</f>
        <v>0</v>
      </c>
      <c r="C8" s="12">
        <f>Assumptions!C14*12</f>
        <v>14400</v>
      </c>
      <c r="D8" s="23" t="s">
        <v>112</v>
      </c>
    </row>
    <row r="9" spans="1:4" x14ac:dyDescent="0.25">
      <c r="A9" s="8" t="s">
        <v>22</v>
      </c>
      <c r="B9" s="29">
        <f>SUM(B6:B8)</f>
        <v>81000</v>
      </c>
      <c r="C9" s="29">
        <f>SUM(C6:C8)</f>
        <v>95400</v>
      </c>
      <c r="D9" s="23"/>
    </row>
    <row r="10" spans="1:4" x14ac:dyDescent="0.25">
      <c r="A10" s="21" t="s">
        <v>113</v>
      </c>
      <c r="B10" s="30">
        <f>-B9*Assumptions!B18</f>
        <v>-4050</v>
      </c>
      <c r="C10" s="30">
        <f>-C9*Assumptions!C18</f>
        <v>-4770</v>
      </c>
      <c r="D10" s="23" t="s">
        <v>114</v>
      </c>
    </row>
    <row r="11" spans="1:4" x14ac:dyDescent="0.25">
      <c r="A11" s="8" t="s">
        <v>115</v>
      </c>
      <c r="B11" s="29">
        <f>B9+B10</f>
        <v>76950</v>
      </c>
      <c r="C11" s="29">
        <f>C9+C10</f>
        <v>90630</v>
      </c>
      <c r="D11" s="23"/>
    </row>
    <row r="13" spans="1:4" x14ac:dyDescent="0.25">
      <c r="A13" s="28" t="s">
        <v>116</v>
      </c>
      <c r="B13" s="20"/>
      <c r="C13" s="20"/>
      <c r="D13" s="20"/>
    </row>
    <row r="14" spans="1:4" ht="24" x14ac:dyDescent="0.25">
      <c r="A14" s="21" t="s">
        <v>117</v>
      </c>
      <c r="B14" s="30">
        <f>Assumptions!B6*Assumptions!B21+Assumptions!B22</f>
        <v>13888.259902</v>
      </c>
      <c r="C14" s="30">
        <f>Assumptions!C6*Assumptions!C21+Assumptions!C22</f>
        <v>13888.259902</v>
      </c>
      <c r="D14" s="23" t="s">
        <v>118</v>
      </c>
    </row>
    <row r="15" spans="1:4" x14ac:dyDescent="0.25">
      <c r="A15" s="21" t="s">
        <v>79</v>
      </c>
      <c r="B15" s="30">
        <f>Assumptions!B23</f>
        <v>4200</v>
      </c>
      <c r="C15" s="30">
        <f>Assumptions!C23</f>
        <v>4600</v>
      </c>
      <c r="D15" s="23" t="s">
        <v>119</v>
      </c>
    </row>
    <row r="16" spans="1:4" x14ac:dyDescent="0.25">
      <c r="A16" s="21" t="s">
        <v>81</v>
      </c>
      <c r="B16" s="30">
        <f>Assumptions!B24</f>
        <v>2700</v>
      </c>
      <c r="C16" s="30">
        <f>Assumptions!C24</f>
        <v>3300</v>
      </c>
      <c r="D16" s="23" t="s">
        <v>120</v>
      </c>
    </row>
    <row r="17" spans="1:4" x14ac:dyDescent="0.25">
      <c r="A17" s="21" t="s">
        <v>83</v>
      </c>
      <c r="B17" s="30">
        <f>Assumptions!B25</f>
        <v>1100</v>
      </c>
      <c r="C17" s="30">
        <f>Assumptions!C25</f>
        <v>1100</v>
      </c>
      <c r="D17" s="23" t="s">
        <v>119</v>
      </c>
    </row>
    <row r="18" spans="1:4" x14ac:dyDescent="0.25">
      <c r="A18" s="21" t="s">
        <v>235</v>
      </c>
      <c r="B18" s="30">
        <f>Assumptions!B26</f>
        <v>0</v>
      </c>
      <c r="C18" s="30">
        <f>Assumptions!C26</f>
        <v>0</v>
      </c>
      <c r="D18" s="23" t="s">
        <v>236</v>
      </c>
    </row>
    <row r="19" spans="1:4" x14ac:dyDescent="0.25">
      <c r="A19" s="21" t="s">
        <v>87</v>
      </c>
      <c r="B19" s="30">
        <f>Assumptions!B27</f>
        <v>0</v>
      </c>
      <c r="C19" s="30">
        <f>Assumptions!C27</f>
        <v>0</v>
      </c>
      <c r="D19" s="23" t="s">
        <v>236</v>
      </c>
    </row>
    <row r="20" spans="1:4" x14ac:dyDescent="0.25">
      <c r="A20" s="21" t="s">
        <v>89</v>
      </c>
      <c r="B20" s="30">
        <f>Assumptions!B28</f>
        <v>0</v>
      </c>
      <c r="C20" s="30">
        <f>Assumptions!C28</f>
        <v>0</v>
      </c>
      <c r="D20" s="23" t="s">
        <v>236</v>
      </c>
    </row>
    <row r="21" spans="1:4" x14ac:dyDescent="0.25">
      <c r="A21" s="21" t="s">
        <v>91</v>
      </c>
      <c r="B21" s="30">
        <f>Assumptions!B29</f>
        <v>3200</v>
      </c>
      <c r="C21" s="30">
        <f>Assumptions!C29</f>
        <v>3800</v>
      </c>
      <c r="D21" s="23" t="s">
        <v>121</v>
      </c>
    </row>
    <row r="22" spans="1:4" x14ac:dyDescent="0.25">
      <c r="A22" s="21" t="s">
        <v>122</v>
      </c>
      <c r="B22" s="30">
        <f>B11*Assumptions!B30</f>
        <v>0</v>
      </c>
      <c r="C22" s="30">
        <f>C11*Assumptions!C30</f>
        <v>0</v>
      </c>
      <c r="D22" s="23" t="s">
        <v>237</v>
      </c>
    </row>
    <row r="23" spans="1:4" x14ac:dyDescent="0.25">
      <c r="A23" s="8" t="s">
        <v>123</v>
      </c>
      <c r="B23" s="29">
        <f>SUM(B14:B22)</f>
        <v>25088.259901999998</v>
      </c>
      <c r="C23" s="29">
        <f>SUM(C14:C22)</f>
        <v>26688.259901999998</v>
      </c>
      <c r="D23" s="23"/>
    </row>
    <row r="25" spans="1:4" x14ac:dyDescent="0.25">
      <c r="A25" s="21" t="s">
        <v>34</v>
      </c>
      <c r="B25" s="31">
        <f>IFERROR(B23/B11,0)</f>
        <v>0.32603326708252112</v>
      </c>
      <c r="C25" s="31">
        <f>IFERROR(C23/C11,0)</f>
        <v>0.29447489685534589</v>
      </c>
      <c r="D25" s="23" t="s">
        <v>124</v>
      </c>
    </row>
    <row r="27" spans="1:4" x14ac:dyDescent="0.25">
      <c r="A27" s="32" t="s">
        <v>125</v>
      </c>
      <c r="B27" s="33">
        <f>B11-B23</f>
        <v>51861.740098000002</v>
      </c>
      <c r="C27" s="33">
        <f>C11-C23</f>
        <v>63941.740098000002</v>
      </c>
      <c r="D27" s="23" t="s">
        <v>126</v>
      </c>
    </row>
    <row r="29" spans="1:4" x14ac:dyDescent="0.25">
      <c r="A29" s="28" t="s">
        <v>127</v>
      </c>
      <c r="B29" s="20"/>
      <c r="C29" s="20"/>
      <c r="D29" s="20"/>
    </row>
    <row r="31" spans="1:4" ht="24" x14ac:dyDescent="0.25">
      <c r="A31" s="8" t="s">
        <v>26</v>
      </c>
      <c r="B31" s="34">
        <f>IFERROR(B27/Assumptions!B6,0)</f>
        <v>4.9396837887417853E-2</v>
      </c>
      <c r="C31" s="34">
        <f>IFERROR(C27/Assumptions!C6,0)</f>
        <v>6.0902695588151257E-2</v>
      </c>
      <c r="D31" s="23" t="s">
        <v>128</v>
      </c>
    </row>
    <row r="32" spans="1:4" ht="24" x14ac:dyDescent="0.25">
      <c r="A32" s="8" t="s">
        <v>28</v>
      </c>
      <c r="B32" s="35">
        <f>IFERROR(Assumptions!B6/B9,0)</f>
        <v>12.961728395061728</v>
      </c>
      <c r="C32" s="35">
        <f>IFERROR(Assumptions!C6/C9,0)</f>
        <v>11.00524109014675</v>
      </c>
      <c r="D32" s="23" t="s">
        <v>129</v>
      </c>
    </row>
    <row r="33" spans="1:4" x14ac:dyDescent="0.25">
      <c r="A33" s="21" t="s">
        <v>30</v>
      </c>
      <c r="B33" s="30">
        <f>IFERROR(Assumptions!B6/Assumptions!B9,0)</f>
        <v>524950</v>
      </c>
      <c r="C33" s="30">
        <f>IFERROR(Assumptions!C6/Assumptions!C9,0)</f>
        <v>349966.66666666669</v>
      </c>
      <c r="D33" s="23" t="s">
        <v>130</v>
      </c>
    </row>
    <row r="34" spans="1:4" ht="24" x14ac:dyDescent="0.25">
      <c r="A34" s="21" t="s">
        <v>131</v>
      </c>
      <c r="B34" s="36">
        <f>IFERROR(Assumptions!B6/Assumptions!B7,0)</f>
        <v>503.54916067146286</v>
      </c>
      <c r="C34" s="36">
        <f>IFERROR(Assumptions!C6/Assumptions!C7,0)</f>
        <v>503.54916067146286</v>
      </c>
      <c r="D34" s="23" t="s">
        <v>132</v>
      </c>
    </row>
    <row r="35" spans="1:4" ht="36" x14ac:dyDescent="0.25">
      <c r="A35" s="21" t="s">
        <v>133</v>
      </c>
      <c r="B35" s="30">
        <f>IFERROR(B27/Assumptions!B38,0)</f>
        <v>1152483.1132888889</v>
      </c>
      <c r="C35" s="30">
        <f>IFERROR(C27/Assumptions!C38,0)</f>
        <v>1420927.5577333334</v>
      </c>
      <c r="D35" s="23" t="s">
        <v>134</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9"/>
  <sheetViews>
    <sheetView showGridLines="0" zoomScaleNormal="100" workbookViewId="0"/>
  </sheetViews>
  <sheetFormatPr defaultColWidth="8.7109375" defaultRowHeight="15" x14ac:dyDescent="0.25"/>
  <cols>
    <col min="1" max="1" width="44" customWidth="1"/>
    <col min="2" max="3" width="20" customWidth="1"/>
    <col min="4" max="4" width="48" customWidth="1"/>
  </cols>
  <sheetData>
    <row r="1" spans="1:4" ht="18" x14ac:dyDescent="0.25">
      <c r="A1" s="4" t="s">
        <v>135</v>
      </c>
    </row>
    <row r="2" spans="1:4" x14ac:dyDescent="0.25">
      <c r="A2" s="5" t="s">
        <v>136</v>
      </c>
    </row>
    <row r="4" spans="1:4" ht="31.5" customHeight="1" x14ac:dyDescent="0.25">
      <c r="A4" s="10"/>
      <c r="B4" s="11" t="s">
        <v>54</v>
      </c>
      <c r="C4" s="11" t="s">
        <v>18</v>
      </c>
      <c r="D4" s="11" t="s">
        <v>19</v>
      </c>
    </row>
    <row r="5" spans="1:4" x14ac:dyDescent="0.25">
      <c r="A5" s="21" t="s">
        <v>20</v>
      </c>
      <c r="B5" s="12">
        <f>Assumptions!B6</f>
        <v>1049900</v>
      </c>
      <c r="C5" s="12">
        <f>Assumptions!C6</f>
        <v>1049900</v>
      </c>
      <c r="D5" s="23" t="s">
        <v>137</v>
      </c>
    </row>
    <row r="6" spans="1:4" x14ac:dyDescent="0.25">
      <c r="A6" s="21" t="s">
        <v>138</v>
      </c>
      <c r="B6" s="30">
        <f>B5*Assumptions!B33</f>
        <v>524950</v>
      </c>
      <c r="C6" s="30">
        <f>C5*Assumptions!C33</f>
        <v>524950</v>
      </c>
      <c r="D6" s="23" t="s">
        <v>139</v>
      </c>
    </row>
    <row r="7" spans="1:4" x14ac:dyDescent="0.25">
      <c r="A7" s="21" t="s">
        <v>140</v>
      </c>
      <c r="B7" s="30">
        <f>B5-B6</f>
        <v>524950</v>
      </c>
      <c r="C7" s="30">
        <f>C5-C6</f>
        <v>524950</v>
      </c>
      <c r="D7" s="23"/>
    </row>
    <row r="8" spans="1:4" x14ac:dyDescent="0.25">
      <c r="A8" s="21" t="s">
        <v>98</v>
      </c>
      <c r="B8" s="17">
        <f>Assumptions!B34</f>
        <v>6.7500000000000004E-2</v>
      </c>
      <c r="C8" s="17">
        <f>Assumptions!C34</f>
        <v>6.7500000000000004E-2</v>
      </c>
      <c r="D8" s="23" t="s">
        <v>119</v>
      </c>
    </row>
    <row r="9" spans="1:4" x14ac:dyDescent="0.25">
      <c r="A9" s="21" t="s">
        <v>141</v>
      </c>
      <c r="B9" s="36">
        <f>IFERROR(-PMT(B8/12,Assumptions!B35*12,B7),0)</f>
        <v>3404.8157079348457</v>
      </c>
      <c r="C9" s="36">
        <f>IFERROR(-PMT(C8/12,Assumptions!C35*12,C7),0)</f>
        <v>3404.8157079348457</v>
      </c>
      <c r="D9" s="23" t="s">
        <v>142</v>
      </c>
    </row>
    <row r="10" spans="1:4" x14ac:dyDescent="0.25">
      <c r="A10" s="8" t="s">
        <v>36</v>
      </c>
      <c r="B10" s="29">
        <f>B9*12</f>
        <v>40857.788495218148</v>
      </c>
      <c r="C10" s="29">
        <f>C9*12</f>
        <v>40857.788495218148</v>
      </c>
      <c r="D10" s="23"/>
    </row>
    <row r="11" spans="1:4" x14ac:dyDescent="0.25">
      <c r="A11" s="21" t="s">
        <v>24</v>
      </c>
      <c r="B11" s="12">
        <f>Proforma!B27</f>
        <v>51861.740098000002</v>
      </c>
      <c r="C11" s="12">
        <f>Proforma!C27</f>
        <v>63941.740098000002</v>
      </c>
      <c r="D11" s="23" t="s">
        <v>143</v>
      </c>
    </row>
    <row r="12" spans="1:4" x14ac:dyDescent="0.25">
      <c r="A12" s="32" t="s">
        <v>144</v>
      </c>
      <c r="B12" s="33">
        <f>B11-B10</f>
        <v>11003.951602781854</v>
      </c>
      <c r="C12" s="33">
        <f>C11-C10</f>
        <v>23083.951602781854</v>
      </c>
      <c r="D12" s="23" t="s">
        <v>145</v>
      </c>
    </row>
    <row r="13" spans="1:4" x14ac:dyDescent="0.25">
      <c r="A13" s="8" t="s">
        <v>40</v>
      </c>
      <c r="B13" s="34">
        <f>IFERROR(B12/B6,0)</f>
        <v>2.096190418664988E-2</v>
      </c>
      <c r="C13" s="34">
        <f>IFERROR(C12/C6,0)</f>
        <v>4.3973619588116686E-2</v>
      </c>
      <c r="D13" s="23" t="s">
        <v>146</v>
      </c>
    </row>
    <row r="14" spans="1:4" x14ac:dyDescent="0.25">
      <c r="A14" s="8" t="s">
        <v>42</v>
      </c>
      <c r="B14" s="35">
        <f>IFERROR(B11/B10,0)</f>
        <v>1.2693232308466651</v>
      </c>
      <c r="C14" s="35">
        <f>IFERROR(C11/C10,0)</f>
        <v>1.5649828943992776</v>
      </c>
      <c r="D14" s="23" t="s">
        <v>147</v>
      </c>
    </row>
    <row r="16" spans="1:4" x14ac:dyDescent="0.25">
      <c r="A16" s="28" t="s">
        <v>148</v>
      </c>
      <c r="B16" s="20"/>
      <c r="C16" s="20"/>
      <c r="D16" s="20"/>
    </row>
    <row r="17" spans="1:4" ht="43.5" customHeight="1" x14ac:dyDescent="0.25">
      <c r="A17" s="3" t="s">
        <v>149</v>
      </c>
      <c r="B17" s="3"/>
      <c r="C17" s="3"/>
      <c r="D17" s="3"/>
    </row>
    <row r="18" spans="1:4" ht="24" x14ac:dyDescent="0.25">
      <c r="A18" s="21" t="s">
        <v>150</v>
      </c>
      <c r="B18" s="12">
        <f>Assumptions!B13*12</f>
        <v>21000</v>
      </c>
      <c r="C18" s="12">
        <f>(Assumptions!C13+Assumptions!C14)*12</f>
        <v>35400</v>
      </c>
      <c r="D18" s="23" t="s">
        <v>151</v>
      </c>
    </row>
    <row r="19" spans="1:4" x14ac:dyDescent="0.25">
      <c r="A19" s="8" t="s">
        <v>152</v>
      </c>
      <c r="B19" s="29">
        <f>B18/12</f>
        <v>1750</v>
      </c>
      <c r="C19" s="29">
        <f>C18/12</f>
        <v>2950</v>
      </c>
      <c r="D19" s="23"/>
    </row>
  </sheetData>
  <mergeCells count="1">
    <mergeCell ref="A17:D17"/>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1"/>
  <sheetViews>
    <sheetView showGridLines="0" zoomScaleNormal="100" workbookViewId="0">
      <selection activeCell="K16" sqref="K16"/>
    </sheetView>
  </sheetViews>
  <sheetFormatPr defaultColWidth="8.7109375" defaultRowHeight="15" x14ac:dyDescent="0.25"/>
  <cols>
    <col min="1" max="1" width="26" customWidth="1"/>
    <col min="2" max="2" width="10" customWidth="1"/>
    <col min="3" max="3" width="12" customWidth="1"/>
    <col min="4" max="4" width="14" customWidth="1"/>
    <col min="5" max="5" width="11" customWidth="1"/>
    <col min="6" max="6" width="8" customWidth="1"/>
    <col min="7" max="7" width="11" customWidth="1"/>
    <col min="8" max="8" width="12" customWidth="1"/>
    <col min="9" max="9" width="11" customWidth="1"/>
    <col min="10" max="10" width="10" customWidth="1"/>
    <col min="11" max="11" width="42" customWidth="1"/>
  </cols>
  <sheetData>
    <row r="1" spans="1:11" ht="18" x14ac:dyDescent="0.25">
      <c r="A1" s="4" t="s">
        <v>153</v>
      </c>
    </row>
    <row r="3" spans="1:11" ht="25.5" customHeight="1" x14ac:dyDescent="0.25">
      <c r="A3" s="11" t="s">
        <v>154</v>
      </c>
      <c r="B3" s="11" t="s">
        <v>155</v>
      </c>
      <c r="C3" s="11" t="s">
        <v>156</v>
      </c>
      <c r="D3" s="11" t="s">
        <v>157</v>
      </c>
      <c r="E3" s="11" t="s">
        <v>158</v>
      </c>
      <c r="F3" s="11" t="s">
        <v>159</v>
      </c>
      <c r="G3" s="11" t="s">
        <v>160</v>
      </c>
      <c r="H3" s="11" t="s">
        <v>161</v>
      </c>
      <c r="I3" s="11" t="s">
        <v>162</v>
      </c>
      <c r="J3" s="11" t="s">
        <v>163</v>
      </c>
      <c r="K3" s="11" t="s">
        <v>164</v>
      </c>
    </row>
    <row r="4" spans="1:11" ht="39.75" customHeight="1" x14ac:dyDescent="0.25">
      <c r="A4" s="37" t="s">
        <v>165</v>
      </c>
      <c r="B4" s="38" t="s">
        <v>166</v>
      </c>
      <c r="C4" s="37" t="s">
        <v>167</v>
      </c>
      <c r="D4" s="39">
        <v>1049900</v>
      </c>
      <c r="E4" s="40">
        <f t="shared" ref="E4:E7" si="0">IFERROR(D4/G4,0)</f>
        <v>503.54916067146286</v>
      </c>
      <c r="F4" s="41">
        <v>117</v>
      </c>
      <c r="G4" s="41">
        <v>2085</v>
      </c>
      <c r="H4" s="38"/>
      <c r="I4" s="42"/>
      <c r="J4" s="42" t="s">
        <v>234</v>
      </c>
      <c r="K4" s="43" t="s">
        <v>168</v>
      </c>
    </row>
    <row r="5" spans="1:11" ht="36" x14ac:dyDescent="0.25">
      <c r="A5" s="55" t="s">
        <v>170</v>
      </c>
      <c r="B5" s="55" t="s">
        <v>166</v>
      </c>
      <c r="C5" s="55" t="s">
        <v>169</v>
      </c>
      <c r="D5" s="56">
        <v>1150000</v>
      </c>
      <c r="E5" s="57">
        <f t="shared" si="0"/>
        <v>380.54268696227666</v>
      </c>
      <c r="F5" s="58">
        <v>73</v>
      </c>
      <c r="G5" s="58">
        <v>3022</v>
      </c>
      <c r="H5" s="55" t="s">
        <v>171</v>
      </c>
      <c r="I5" s="67"/>
      <c r="J5" s="67"/>
      <c r="K5" s="60" t="s">
        <v>233</v>
      </c>
    </row>
    <row r="6" spans="1:11" ht="48" x14ac:dyDescent="0.25">
      <c r="A6" s="55" t="s">
        <v>172</v>
      </c>
      <c r="B6" s="55" t="s">
        <v>173</v>
      </c>
      <c r="C6" s="55" t="s">
        <v>169</v>
      </c>
      <c r="D6" s="56">
        <v>1025000</v>
      </c>
      <c r="E6" s="57">
        <f t="shared" si="0"/>
        <v>465.0635208711434</v>
      </c>
      <c r="F6" s="58">
        <v>13</v>
      </c>
      <c r="G6" s="58">
        <v>2204</v>
      </c>
      <c r="H6" s="55" t="s">
        <v>174</v>
      </c>
      <c r="I6" s="56">
        <v>62400</v>
      </c>
      <c r="J6" s="59">
        <v>3.4000000000000002E-2</v>
      </c>
      <c r="K6" s="60" t="s">
        <v>175</v>
      </c>
    </row>
    <row r="7" spans="1:11" ht="48" x14ac:dyDescent="0.25">
      <c r="A7" s="61" t="s">
        <v>176</v>
      </c>
      <c r="B7" s="61" t="s">
        <v>166</v>
      </c>
      <c r="C7" s="61" t="s">
        <v>177</v>
      </c>
      <c r="D7" s="62">
        <v>1050000</v>
      </c>
      <c r="E7" s="63">
        <f t="shared" si="0"/>
        <v>385.32110091743118</v>
      </c>
      <c r="F7" s="64">
        <v>12</v>
      </c>
      <c r="G7" s="64">
        <v>2725</v>
      </c>
      <c r="H7" s="61"/>
      <c r="I7" s="62">
        <v>76200</v>
      </c>
      <c r="J7" s="65">
        <v>4.2999999999999997E-2</v>
      </c>
      <c r="K7" s="66" t="s">
        <v>178</v>
      </c>
    </row>
    <row r="9" spans="1:11" x14ac:dyDescent="0.25">
      <c r="A9" s="28" t="s">
        <v>179</v>
      </c>
      <c r="B9" s="20"/>
      <c r="C9" s="20"/>
      <c r="D9" s="20"/>
      <c r="E9" s="20"/>
      <c r="F9" s="20"/>
      <c r="G9" s="20"/>
      <c r="H9" s="20"/>
      <c r="I9" s="20"/>
      <c r="J9" s="20"/>
      <c r="K9" s="20"/>
    </row>
    <row r="10" spans="1:11" x14ac:dyDescent="0.25">
      <c r="A10" s="2" t="s">
        <v>180</v>
      </c>
      <c r="B10" s="2"/>
      <c r="C10" s="2"/>
      <c r="D10" s="25">
        <f>MEDIAN(D5:D6)</f>
        <v>1087500</v>
      </c>
      <c r="E10" s="1" t="s">
        <v>181</v>
      </c>
      <c r="F10" s="1"/>
      <c r="G10" s="1"/>
      <c r="H10" s="1"/>
      <c r="I10" s="1"/>
      <c r="J10" s="1"/>
      <c r="K10" s="1"/>
    </row>
    <row r="11" spans="1:11" x14ac:dyDescent="0.25">
      <c r="A11" s="2" t="s">
        <v>182</v>
      </c>
      <c r="B11" s="2"/>
      <c r="C11" s="2"/>
      <c r="D11" s="25">
        <f>AVERAGE(D5:D6)</f>
        <v>1087500</v>
      </c>
      <c r="E11" s="1" t="s">
        <v>183</v>
      </c>
      <c r="F11" s="1"/>
      <c r="G11" s="1"/>
      <c r="H11" s="1"/>
      <c r="I11" s="1"/>
      <c r="J11" s="1"/>
      <c r="K11" s="1"/>
    </row>
    <row r="12" spans="1:11" x14ac:dyDescent="0.25">
      <c r="A12" s="2" t="s">
        <v>184</v>
      </c>
      <c r="B12" s="2"/>
      <c r="C12" s="2"/>
      <c r="D12" s="44">
        <f>MEDIAN(E5:E6)</f>
        <v>422.80310391671003</v>
      </c>
      <c r="E12" s="1" t="s">
        <v>185</v>
      </c>
      <c r="F12" s="1"/>
      <c r="G12" s="1"/>
      <c r="H12" s="1"/>
      <c r="I12" s="1"/>
      <c r="J12" s="1"/>
      <c r="K12" s="1"/>
    </row>
    <row r="13" spans="1:11" x14ac:dyDescent="0.25">
      <c r="A13" s="2" t="s">
        <v>186</v>
      </c>
      <c r="B13" s="2"/>
      <c r="C13" s="2"/>
      <c r="D13" s="45">
        <f>MEDIAN(F5:F6)</f>
        <v>43</v>
      </c>
      <c r="E13" s="1" t="s">
        <v>187</v>
      </c>
      <c r="F13" s="1"/>
      <c r="G13" s="1"/>
      <c r="H13" s="1"/>
      <c r="I13" s="1"/>
      <c r="J13" s="1"/>
      <c r="K13" s="1"/>
    </row>
    <row r="14" spans="1:11" x14ac:dyDescent="0.25">
      <c r="A14" s="2" t="s">
        <v>188</v>
      </c>
      <c r="B14" s="2"/>
      <c r="C14" s="2"/>
      <c r="D14" s="45">
        <f>COUNTIF(D5:D6,"&gt;1000000")</f>
        <v>2</v>
      </c>
      <c r="E14" s="1" t="s">
        <v>189</v>
      </c>
      <c r="F14" s="1"/>
      <c r="G14" s="1"/>
      <c r="H14" s="1"/>
      <c r="I14" s="1"/>
      <c r="J14" s="1"/>
      <c r="K14" s="1"/>
    </row>
    <row r="16" spans="1:11" x14ac:dyDescent="0.25">
      <c r="A16" s="28" t="s">
        <v>190</v>
      </c>
      <c r="B16" s="20"/>
      <c r="C16" s="20"/>
      <c r="D16" s="20"/>
      <c r="E16" s="20"/>
      <c r="F16" s="20"/>
      <c r="G16" s="20"/>
      <c r="H16" s="20"/>
      <c r="I16" s="20"/>
      <c r="J16" s="20"/>
      <c r="K16" s="20"/>
    </row>
    <row r="17" spans="1:6" x14ac:dyDescent="0.25">
      <c r="A17" s="46" t="s">
        <v>191</v>
      </c>
      <c r="B17" s="46" t="s">
        <v>156</v>
      </c>
      <c r="C17" s="46" t="s">
        <v>157</v>
      </c>
      <c r="D17" s="46" t="s">
        <v>162</v>
      </c>
      <c r="E17" s="46" t="s">
        <v>192</v>
      </c>
      <c r="F17" s="46" t="s">
        <v>163</v>
      </c>
    </row>
    <row r="18" spans="1:6" x14ac:dyDescent="0.25">
      <c r="A18" s="21" t="s">
        <v>172</v>
      </c>
      <c r="B18" s="21" t="s">
        <v>169</v>
      </c>
      <c r="C18" s="30">
        <f>D6</f>
        <v>1025000</v>
      </c>
      <c r="D18" s="30">
        <f>I6</f>
        <v>62400</v>
      </c>
      <c r="E18" s="47">
        <f>IFERROR(D6/I6,0)</f>
        <v>16.426282051282051</v>
      </c>
      <c r="F18" s="31">
        <f>J6</f>
        <v>3.4000000000000002E-2</v>
      </c>
    </row>
    <row r="19" spans="1:6" x14ac:dyDescent="0.25">
      <c r="A19" s="21" t="s">
        <v>176</v>
      </c>
      <c r="B19" s="21" t="s">
        <v>177</v>
      </c>
      <c r="C19" s="30">
        <f>D7</f>
        <v>1050000</v>
      </c>
      <c r="D19" s="30">
        <f>I7</f>
        <v>76200</v>
      </c>
      <c r="E19" s="47">
        <f>IFERROR(D7/I7,0)</f>
        <v>13.779527559055119</v>
      </c>
      <c r="F19" s="31">
        <f>J7</f>
        <v>4.2999999999999997E-2</v>
      </c>
    </row>
    <row r="20" spans="1:6" x14ac:dyDescent="0.25">
      <c r="A20" s="48" t="s">
        <v>193</v>
      </c>
      <c r="B20" s="49" t="s">
        <v>194</v>
      </c>
      <c r="C20" s="50">
        <f>Assumptions!B6</f>
        <v>1049900</v>
      </c>
      <c r="D20" s="50">
        <f>Proforma!B9</f>
        <v>81000</v>
      </c>
      <c r="E20" s="51">
        <f>Proforma!B32</f>
        <v>12.961728395061728</v>
      </c>
      <c r="F20" s="52">
        <f>Proforma!B31</f>
        <v>4.9396837887417853E-2</v>
      </c>
    </row>
    <row r="21" spans="1:6" x14ac:dyDescent="0.25">
      <c r="A21" s="48" t="s">
        <v>195</v>
      </c>
      <c r="B21" s="49" t="s">
        <v>194</v>
      </c>
      <c r="C21" s="50">
        <f>Assumptions!C6</f>
        <v>1049900</v>
      </c>
      <c r="D21" s="50">
        <f>Proforma!C9</f>
        <v>95400</v>
      </c>
      <c r="E21" s="51">
        <f>Proforma!C32</f>
        <v>11.00524109014675</v>
      </c>
      <c r="F21" s="52">
        <f>Proforma!C31</f>
        <v>6.0902695588151257E-2</v>
      </c>
    </row>
  </sheetData>
  <mergeCells count="10">
    <mergeCell ref="A14:C14"/>
    <mergeCell ref="E14:K14"/>
    <mergeCell ref="A12:C12"/>
    <mergeCell ref="E12:K12"/>
    <mergeCell ref="A13:C13"/>
    <mergeCell ref="E13:K13"/>
    <mergeCell ref="A10:C10"/>
    <mergeCell ref="E10:K10"/>
    <mergeCell ref="A11:C11"/>
    <mergeCell ref="E11:K11"/>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5"/>
  <sheetViews>
    <sheetView showGridLines="0" zoomScaleNormal="100" workbookViewId="0">
      <selection activeCell="B12" sqref="B12"/>
    </sheetView>
  </sheetViews>
  <sheetFormatPr defaultColWidth="8.7109375" defaultRowHeight="15" x14ac:dyDescent="0.25"/>
  <cols>
    <col min="1" max="1" width="30" customWidth="1"/>
    <col min="2" max="2" width="100" customWidth="1"/>
  </cols>
  <sheetData>
    <row r="1" spans="1:2" ht="18" x14ac:dyDescent="0.25">
      <c r="A1" s="4" t="s">
        <v>196</v>
      </c>
    </row>
    <row r="3" spans="1:2" x14ac:dyDescent="0.25">
      <c r="A3" s="28" t="s">
        <v>197</v>
      </c>
      <c r="B3" s="20"/>
    </row>
    <row r="4" spans="1:2" ht="39" customHeight="1" x14ac:dyDescent="0.25">
      <c r="A4" s="53" t="s">
        <v>198</v>
      </c>
      <c r="B4" s="54" t="s">
        <v>199</v>
      </c>
    </row>
    <row r="5" spans="1:2" ht="39" customHeight="1" x14ac:dyDescent="0.25">
      <c r="A5" s="53" t="s">
        <v>200</v>
      </c>
      <c r="B5" s="54" t="s">
        <v>230</v>
      </c>
    </row>
    <row r="6" spans="1:2" ht="30" customHeight="1" x14ac:dyDescent="0.25">
      <c r="A6" s="53" t="s">
        <v>201</v>
      </c>
      <c r="B6" s="54" t="s">
        <v>231</v>
      </c>
    </row>
    <row r="7" spans="1:2" ht="30" customHeight="1" x14ac:dyDescent="0.25">
      <c r="A7" s="53" t="s">
        <v>202</v>
      </c>
      <c r="B7" s="54" t="s">
        <v>203</v>
      </c>
    </row>
    <row r="9" spans="1:2" x14ac:dyDescent="0.25">
      <c r="A9" s="28" t="s">
        <v>204</v>
      </c>
      <c r="B9" s="20"/>
    </row>
    <row r="10" spans="1:2" ht="39" customHeight="1" x14ac:dyDescent="0.25">
      <c r="A10" s="53" t="s">
        <v>205</v>
      </c>
      <c r="B10" s="54" t="s">
        <v>206</v>
      </c>
    </row>
    <row r="11" spans="1:2" ht="30" customHeight="1" x14ac:dyDescent="0.25">
      <c r="A11" s="53" t="s">
        <v>207</v>
      </c>
      <c r="B11" s="54" t="s">
        <v>232</v>
      </c>
    </row>
    <row r="12" spans="1:2" ht="39" customHeight="1" x14ac:dyDescent="0.25">
      <c r="A12" s="53" t="s">
        <v>208</v>
      </c>
      <c r="B12" s="54" t="s">
        <v>209</v>
      </c>
    </row>
    <row r="14" spans="1:2" x14ac:dyDescent="0.25">
      <c r="A14" s="28" t="s">
        <v>210</v>
      </c>
      <c r="B14" s="20"/>
    </row>
    <row r="15" spans="1:2" ht="51.75" customHeight="1" x14ac:dyDescent="0.25">
      <c r="A15" s="53" t="s">
        <v>211</v>
      </c>
      <c r="B15" s="54" t="s">
        <v>212</v>
      </c>
    </row>
    <row r="16" spans="1:2" ht="30" customHeight="1" x14ac:dyDescent="0.25">
      <c r="A16" s="53" t="s">
        <v>213</v>
      </c>
      <c r="B16" s="54" t="s">
        <v>214</v>
      </c>
    </row>
    <row r="17" spans="1:2" ht="30" customHeight="1" x14ac:dyDescent="0.25">
      <c r="A17" s="53" t="s">
        <v>215</v>
      </c>
      <c r="B17" s="54" t="s">
        <v>216</v>
      </c>
    </row>
    <row r="19" spans="1:2" x14ac:dyDescent="0.25">
      <c r="A19" s="28" t="s">
        <v>217</v>
      </c>
      <c r="B19" s="20"/>
    </row>
    <row r="20" spans="1:2" ht="39" customHeight="1" x14ac:dyDescent="0.25">
      <c r="A20" s="53" t="s">
        <v>218</v>
      </c>
      <c r="B20" s="54" t="s">
        <v>219</v>
      </c>
    </row>
    <row r="21" spans="1:2" ht="64.5" customHeight="1" x14ac:dyDescent="0.25">
      <c r="A21" s="53" t="s">
        <v>220</v>
      </c>
      <c r="B21" s="54" t="s">
        <v>221</v>
      </c>
    </row>
    <row r="22" spans="1:2" ht="51.75" customHeight="1" x14ac:dyDescent="0.25">
      <c r="A22" s="53" t="s">
        <v>222</v>
      </c>
      <c r="B22" s="54" t="s">
        <v>223</v>
      </c>
    </row>
    <row r="23" spans="1:2" ht="39" customHeight="1" x14ac:dyDescent="0.25">
      <c r="A23" s="53" t="s">
        <v>224</v>
      </c>
      <c r="B23" s="54" t="s">
        <v>225</v>
      </c>
    </row>
    <row r="25" spans="1:2" ht="51.75" customHeight="1" x14ac:dyDescent="0.25">
      <c r="A25" s="53" t="s">
        <v>226</v>
      </c>
      <c r="B25" s="54" t="s">
        <v>227</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Assumptions</vt:lpstr>
      <vt:lpstr>Proforma</vt:lpstr>
      <vt:lpstr>Financing</vt:lpstr>
      <vt:lpstr>Comps</vt:lpstr>
      <vt:lpstr>Notes &amp; 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Brandon Brown</cp:lastModifiedBy>
  <cp:revision>0</cp:revision>
  <dcterms:created xsi:type="dcterms:W3CDTF">2026-08-20T21:01:42Z</dcterms:created>
  <dcterms:modified xsi:type="dcterms:W3CDTF">2026-08-20T22:53:44Z</dcterms:modified>
  <dc:language>en-US</dc:language>
</cp:coreProperties>
</file>